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45" windowHeight="13755" tabRatio="756" activeTab="0"/>
  </bookViews>
  <sheets>
    <sheet name="readme" sheetId="1" r:id="rId1"/>
    <sheet name="平均自立期間の算定表" sheetId="2" r:id="rId2"/>
    <sheet name="全国の基礎資料" sheetId="3" r:id="rId3"/>
    <sheet name="小地域の算定上の留意点" sheetId="4" r:id="rId4"/>
    <sheet name="死亡資料が複数年での使用方法" sheetId="5" r:id="rId5"/>
    <sheet name="前プログラムからの変更点" sheetId="6" r:id="rId6"/>
  </sheets>
  <definedNames/>
  <calcPr fullCalcOnLoad="1"/>
</workbook>
</file>

<file path=xl/sharedStrings.xml><?xml version="1.0" encoding="utf-8"?>
<sst xmlns="http://schemas.openxmlformats.org/spreadsheetml/2006/main" count="289" uniqueCount="152">
  <si>
    <t>人口動態統計</t>
  </si>
  <si>
    <t>死亡数</t>
  </si>
  <si>
    <t>男</t>
  </si>
  <si>
    <t>死亡確率</t>
  </si>
  <si>
    <t>生存数</t>
  </si>
  <si>
    <t>定常人口</t>
  </si>
  <si>
    <t>自立の定常人口</t>
  </si>
  <si>
    <t>要介護の定常人口</t>
  </si>
  <si>
    <t>平均余命</t>
  </si>
  <si>
    <t>平均自立期間</t>
  </si>
  <si>
    <t>平均要介護期間</t>
  </si>
  <si>
    <t>女</t>
  </si>
  <si>
    <t>簡易生命表</t>
  </si>
  <si>
    <t>年齢</t>
  </si>
  <si>
    <t>(歳）</t>
  </si>
  <si>
    <t>平成17年</t>
  </si>
  <si>
    <t>平成18年</t>
  </si>
  <si>
    <t>人口</t>
  </si>
  <si>
    <t>(人）</t>
  </si>
  <si>
    <t>性別</t>
  </si>
  <si>
    <t>65～69</t>
  </si>
  <si>
    <t>70～74</t>
  </si>
  <si>
    <t>75～79</t>
  </si>
  <si>
    <t>80～84</t>
  </si>
  <si>
    <t>85～</t>
  </si>
  <si>
    <t>年齢階級</t>
  </si>
  <si>
    <t>補正係数</t>
  </si>
  <si>
    <t>死亡率</t>
  </si>
  <si>
    <t>基礎データ</t>
  </si>
  <si>
    <t>生命表</t>
  </si>
  <si>
    <t>定常人口用</t>
  </si>
  <si>
    <t>死亡率用</t>
  </si>
  <si>
    <t>自立・要介護の生命表</t>
  </si>
  <si>
    <t>算定結果</t>
  </si>
  <si>
    <t>（年）</t>
  </si>
  <si>
    <t>「平均自立期間の算定表」シートにおいて</t>
  </si>
  <si>
    <t>他から引用・入力する。</t>
  </si>
  <si>
    <t>該当する年次がここになければ、</t>
  </si>
  <si>
    <t>推計人口</t>
  </si>
  <si>
    <t>元の資料</t>
  </si>
  <si>
    <t>平均自立期間の算定表：</t>
  </si>
  <si>
    <t>全国の基礎資料：</t>
  </si>
  <si>
    <t>（いくつかの資料からの引用）</t>
  </si>
  <si>
    <t>全国の基礎資料の入力［白色セル］</t>
  </si>
  <si>
    <t>「平均自立期間の算定方法の指針」を参照して下さい。</t>
  </si>
  <si>
    <t>（循環器疾患等生活習慣病対策総合研究事業）による</t>
  </si>
  <si>
    <t>健康寿命の地域指標算定の標準化に関する研究班</t>
  </si>
  <si>
    <t>②生命表の計算</t>
  </si>
  <si>
    <t>③自立・要介護の生命表の計算</t>
  </si>
  <si>
    <t>④平均自立期間の計算</t>
  </si>
  <si>
    <t>要介護
割合</t>
  </si>
  <si>
    <t>補正
死亡率</t>
  </si>
  <si>
    <t>平均自立期間の算定：①計算の準備</t>
  </si>
  <si>
    <t>分散の推定量</t>
  </si>
  <si>
    <t>要介護割合</t>
  </si>
  <si>
    <t>95％信頼区間</t>
  </si>
  <si>
    <t>下限</t>
  </si>
  <si>
    <t>上限</t>
  </si>
  <si>
    <t>（％）#</t>
  </si>
  <si>
    <t>#：平均余命に対する割合</t>
  </si>
  <si>
    <t>対象集団の基礎資料の入力［白色セル］</t>
  </si>
  <si>
    <t>対象集団</t>
  </si>
  <si>
    <t>全国（対象集団と同一年次）</t>
  </si>
  <si>
    <t>対象集団の算定結果［水色セル］</t>
  </si>
  <si>
    <t>対象集団と全国の基礎資料を入力すると、</t>
  </si>
  <si>
    <t>対象集団の平均自立期間が算定されます。</t>
  </si>
  <si>
    <t>第１号
被保険者数
または人口</t>
  </si>
  <si>
    <t>要介護
２～５の
認定者数</t>
  </si>
  <si>
    <t>「全国（対象集団と同一年次）」の基礎資料</t>
  </si>
  <si>
    <t>該当する年次の基礎資料［白色セル］を</t>
  </si>
  <si>
    <t>コピー・ペーストする。</t>
  </si>
  <si>
    <t>平成17（2005）年</t>
  </si>
  <si>
    <t>平成18（2006）年</t>
  </si>
  <si>
    <t>⑤平均自立期間の区間推定</t>
  </si>
  <si>
    <t>国勢調査</t>
  </si>
  <si>
    <t>x</t>
  </si>
  <si>
    <t>a</t>
  </si>
  <si>
    <t>r</t>
  </si>
  <si>
    <t>m</t>
  </si>
  <si>
    <t>p</t>
  </si>
  <si>
    <t>q</t>
  </si>
  <si>
    <t>l</t>
  </si>
  <si>
    <t>L</t>
  </si>
  <si>
    <t>S</t>
  </si>
  <si>
    <r>
      <t>L</t>
    </r>
    <r>
      <rPr>
        <sz val="11"/>
        <rFont val="ＭＳ 明朝"/>
        <family val="1"/>
      </rPr>
      <t>*(1-</t>
    </r>
    <r>
      <rPr>
        <i/>
        <sz val="11"/>
        <rFont val="Symbol"/>
        <family val="1"/>
      </rPr>
      <t>p</t>
    </r>
    <r>
      <rPr>
        <sz val="11"/>
        <rFont val="ＭＳ 明朝"/>
        <family val="1"/>
      </rPr>
      <t>)</t>
    </r>
  </si>
  <si>
    <r>
      <t>L</t>
    </r>
    <r>
      <rPr>
        <sz val="11"/>
        <rFont val="ＭＳ 明朝"/>
        <family val="1"/>
      </rPr>
      <t>*</t>
    </r>
    <r>
      <rPr>
        <i/>
        <sz val="11"/>
        <rFont val="Symbol"/>
        <family val="1"/>
      </rPr>
      <t>p</t>
    </r>
  </si>
  <si>
    <r>
      <t>V{</t>
    </r>
    <r>
      <rPr>
        <i/>
        <sz val="11"/>
        <rFont val="Century"/>
        <family val="1"/>
      </rPr>
      <t>q</t>
    </r>
    <r>
      <rPr>
        <sz val="11"/>
        <rFont val="ＭＳ 明朝"/>
        <family val="1"/>
      </rPr>
      <t>}</t>
    </r>
  </si>
  <si>
    <r>
      <t>V{</t>
    </r>
    <r>
      <rPr>
        <i/>
        <sz val="11"/>
        <rFont val="Symbol"/>
        <family val="1"/>
      </rPr>
      <t>p</t>
    </r>
    <r>
      <rPr>
        <sz val="11"/>
        <rFont val="ＭＳ 明朝"/>
        <family val="1"/>
      </rPr>
      <t>}</t>
    </r>
  </si>
  <si>
    <r>
      <t>V{</t>
    </r>
    <r>
      <rPr>
        <i/>
        <sz val="11"/>
        <rFont val="Century"/>
        <family val="1"/>
      </rPr>
      <t>e</t>
    </r>
    <r>
      <rPr>
        <sz val="11"/>
        <rFont val="ＭＳ 明朝"/>
        <family val="1"/>
      </rPr>
      <t>}</t>
    </r>
  </si>
  <si>
    <r>
      <t>V{</t>
    </r>
    <r>
      <rPr>
        <i/>
        <sz val="11"/>
        <rFont val="Symbol"/>
        <family val="1"/>
      </rPr>
      <t>h</t>
    </r>
    <r>
      <rPr>
        <sz val="11"/>
        <rFont val="ＭＳ 明朝"/>
        <family val="1"/>
      </rPr>
      <t>}</t>
    </r>
  </si>
  <si>
    <r>
      <t>V{</t>
    </r>
    <r>
      <rPr>
        <i/>
        <sz val="11"/>
        <rFont val="ＭＳ 明朝"/>
        <family val="1"/>
      </rPr>
      <t>ξ</t>
    </r>
    <r>
      <rPr>
        <sz val="11"/>
        <rFont val="ＭＳ 明朝"/>
        <family val="1"/>
      </rPr>
      <t>}</t>
    </r>
  </si>
  <si>
    <t>年齢
（歳）</t>
  </si>
  <si>
    <t>ξ</t>
  </si>
  <si>
    <t>h</t>
  </si>
  <si>
    <r>
      <t>l</t>
    </r>
    <r>
      <rPr>
        <i/>
        <sz val="9"/>
        <rFont val="Century"/>
        <family val="1"/>
      </rPr>
      <t>x</t>
    </r>
  </si>
  <si>
    <r>
      <t>T</t>
    </r>
    <r>
      <rPr>
        <i/>
        <sz val="9"/>
        <rFont val="Century"/>
        <family val="1"/>
      </rPr>
      <t>x</t>
    </r>
  </si>
  <si>
    <t>e</t>
  </si>
  <si>
    <r>
      <t>h</t>
    </r>
    <r>
      <rPr>
        <i/>
        <sz val="11"/>
        <rFont val="Century"/>
        <family val="1"/>
      </rPr>
      <t>/e</t>
    </r>
  </si>
  <si>
    <r>
      <t>ξ</t>
    </r>
    <r>
      <rPr>
        <i/>
        <sz val="11"/>
        <rFont val="Century"/>
        <family val="1"/>
      </rPr>
      <t>/e</t>
    </r>
  </si>
  <si>
    <t>平成19（2007）年</t>
  </si>
  <si>
    <t>平成19年</t>
  </si>
  <si>
    <t>全国の基礎資料（平成17年、18年と19年）です。</t>
  </si>
  <si>
    <t>小地域の算定上の留意点：</t>
  </si>
  <si>
    <t>平均自立期間を小地域（市町村など）で</t>
  </si>
  <si>
    <t>算定する上での留意点を示します。</t>
  </si>
  <si>
    <t>平均自立期間の算定プログラム ver.2</t>
  </si>
  <si>
    <t>平均自立期間を小地域で算定する上での留意点：</t>
  </si>
  <si>
    <t>　　・推定値と95％信頼区間を一緒に表示・解釈する。</t>
  </si>
  <si>
    <t>　　　　（たとえば、人口が15万人未満）</t>
  </si>
  <si>
    <t>死亡資料を複数年とするときの</t>
  </si>
  <si>
    <t>　　　　　死亡資料を平成16～18年の３年間とするとき、</t>
  </si>
  <si>
    <t>　　・「対象集団」の「人口」は複数年の人口の合計とする。</t>
  </si>
  <si>
    <t>　　・「対象集団」の「死亡数」は複数年の死亡数の合計とする。</t>
  </si>
  <si>
    <t>　　・それ以外の設定は、すべて、単年のときと同じとする。</t>
  </si>
  <si>
    <t>　　　　　「対象集団」の「死亡数」は平成16～18年の死亡数の合計とする。</t>
  </si>
  <si>
    <t>　　　　　「対象集団」の「人口」は、平成16～18年の人口の合計、</t>
  </si>
  <si>
    <t>　　　　　「対象集団」の「第１号被保険者数または人口」</t>
  </si>
  <si>
    <t>　　　　　　　と「要介護２～５の認定者数」は平成17年の数値とする。</t>
  </si>
  <si>
    <t>　　　　　　　または、平成17年の人口の３倍とする。</t>
  </si>
  <si>
    <t>　　　　　「全国」の各セルは平成17年の数値とする。</t>
  </si>
  <si>
    <t>　　「平均自立期間の算定表」の使用方法：</t>
  </si>
  <si>
    <t>前プログラムからの変更点：　</t>
  </si>
  <si>
    <t>前プログラム（2008.3）からの変更点を示します。</t>
  </si>
  <si>
    <t>　　・たとえば、平成17年の平均自立期間を算定する場合に</t>
  </si>
  <si>
    <t>前プログラム（2008.3）からの変更点：</t>
  </si>
  <si>
    <t>　　　　　0人の年齢階級（85歳以上を除く）があっても計算可能とした。</t>
  </si>
  <si>
    <t>死亡資料が複数年での使用方法：</t>
  </si>
  <si>
    <t>死亡資料を複数年とするときの</t>
  </si>
  <si>
    <t>「平均自立期間の算定表」の使用方法を示します。</t>
  </si>
  <si>
    <t>　</t>
  </si>
  <si>
    <t>　　・死亡資料は複数年を使用する。</t>
  </si>
  <si>
    <t>　　・人口が一定規模未満に適用しない。</t>
  </si>
  <si>
    <t>　　　　（たとえば、人口が1.3万人未満）</t>
  </si>
  <si>
    <t>　　・介護保険の状況を考慮する。</t>
  </si>
  <si>
    <t>　　　　（たとえば、施設・居宅サービスの供給状況）　</t>
  </si>
  <si>
    <t>シート</t>
  </si>
  <si>
    <t>平成20年度厚生労働科学研究費補助金</t>
  </si>
  <si>
    <t>http://www.kenkounippon21.gr.jp/kenkounippon21/database/index.html</t>
  </si>
  <si>
    <t>　　　　（たとえば、算定対象年の前後を合わせた３年間）</t>
  </si>
  <si>
    <t xml:space="preserve">      ただし、介護資料は複数年を使用しない。</t>
  </si>
  <si>
    <t>　　・「平均自立期間の算定表」シートでは、「対象集団」の「死亡数」に</t>
  </si>
  <si>
    <t>　　・「全国の基礎資料」シートでは、平成19年の資料を追加した。</t>
  </si>
  <si>
    <t>　　・「小地域の算定上の留意点」シートを追加した。</t>
  </si>
  <si>
    <t>　　・「死亡資料が複数年での使用方法」シートを追加した。</t>
  </si>
  <si>
    <t>平均自立期間の精度と人口規模との関係の見積もり：</t>
  </si>
  <si>
    <t>　　・対象集団の性・年齢階級別の人口構成、死亡率と要介護者割合は、
　　　　　2005年の全国と同じと仮定する。</t>
  </si>
  <si>
    <t>　　  65歳の男における平均自立期間は16.7年と計算される。</t>
  </si>
  <si>
    <t>　　（「平均自立期間を小地域で算定する上での留意点」の検討資料の一部）</t>
  </si>
  <si>
    <t>　　（「橋本修二，川戸美由紀，加藤昌弘ほか．介護保険に基づく平均自立期間
　　　　　の算定方法の検討．厚生の指標，2008;55(10):25-30」を参照）</t>
  </si>
  <si>
    <t>　　・総人口が15万人の場合、この95％信頼区間は16.2～17.2年、
　　　　　その幅は1.0年と計算される。
      総人口がそれより小さくなるに伴い、95％信頼区間の幅は急速に広くなる。</t>
  </si>
  <si>
    <t>　　・総人口が3.8～15万人の対象集団では、
　　　　　95％信頼区間の幅は、死亡資料が単年の場合の2.0～1.0年に対して、
　　　　　死亡資料が3年間の合計の場合には1.2～0.6年と狭くなる。</t>
  </si>
  <si>
    <t>　　・死亡資料が3年間の合計の場合、
　　　　　95％信頼区間の幅は総人口1.3万人で2.0年となる。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</si>
</sst>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\ "/>
    <numFmt numFmtId="177" formatCode="0.0_);[Red]\(0.0\)"/>
    <numFmt numFmtId="178" formatCode="###\ ###"/>
    <numFmt numFmtId="179" formatCode="###\ ###\ ###"/>
    <numFmt numFmtId="180" formatCode="\ ###,###,##0;&quot;-&quot;###,###,##0"/>
    <numFmt numFmtId="181" formatCode="0.00_ "/>
    <numFmt numFmtId="182" formatCode="#,##0_ "/>
    <numFmt numFmtId="183" formatCode="#,##0_);[Red]\(#,##0\)"/>
    <numFmt numFmtId="184" formatCode="0_);[Red]\(0\)"/>
    <numFmt numFmtId="185" formatCode="###\ ###\ ###\ "/>
    <numFmt numFmtId="186" formatCode="#\ ###\ ##0\ ;@"/>
    <numFmt numFmtId="187" formatCode="0_ "/>
    <numFmt numFmtId="188" formatCode="0.0000_ "/>
    <numFmt numFmtId="189" formatCode="0.000_ "/>
    <numFmt numFmtId="190" formatCode="0.0_ "/>
    <numFmt numFmtId="191" formatCode="0.000E+00"/>
    <numFmt numFmtId="192" formatCode="0.00_);[Red]\(0.00\)"/>
    <numFmt numFmtId="193" formatCode="0.000_);[Red]\(0.000\)"/>
  </numFmts>
  <fonts count="10"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i/>
      <sz val="11"/>
      <name val="ＭＳ 明朝"/>
      <family val="1"/>
    </font>
    <font>
      <i/>
      <sz val="11"/>
      <name val="Century"/>
      <family val="1"/>
    </font>
    <font>
      <sz val="11"/>
      <name val="Century"/>
      <family val="1"/>
    </font>
    <font>
      <sz val="11"/>
      <name val="Symbol"/>
      <family val="1"/>
    </font>
    <font>
      <i/>
      <sz val="11"/>
      <name val="Symbol"/>
      <family val="1"/>
    </font>
    <font>
      <i/>
      <sz val="9"/>
      <name val="Century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hair"/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184" fontId="2" fillId="0" borderId="4" xfId="0" applyNumberFormat="1" applyFont="1" applyBorder="1" applyAlignment="1">
      <alignment vertical="center"/>
    </xf>
    <xf numFmtId="184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84" fontId="2" fillId="0" borderId="9" xfId="0" applyNumberFormat="1" applyFont="1" applyBorder="1" applyAlignment="1">
      <alignment vertical="center"/>
    </xf>
    <xf numFmtId="184" fontId="2" fillId="0" borderId="10" xfId="0" applyNumberFormat="1" applyFont="1" applyBorder="1" applyAlignment="1">
      <alignment vertical="center"/>
    </xf>
    <xf numFmtId="184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4" fontId="2" fillId="0" borderId="12" xfId="0" applyNumberFormat="1" applyFont="1" applyBorder="1" applyAlignment="1">
      <alignment vertical="center"/>
    </xf>
    <xf numFmtId="184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84" fontId="2" fillId="2" borderId="28" xfId="0" applyNumberFormat="1" applyFont="1" applyFill="1" applyBorder="1" applyAlignment="1">
      <alignment horizontal="center" vertical="center"/>
    </xf>
    <xf numFmtId="184" fontId="2" fillId="2" borderId="29" xfId="0" applyNumberFormat="1" applyFont="1" applyFill="1" applyBorder="1" applyAlignment="1">
      <alignment horizontal="center" vertical="center"/>
    </xf>
    <xf numFmtId="184" fontId="2" fillId="2" borderId="30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184" fontId="2" fillId="2" borderId="32" xfId="0" applyNumberFormat="1" applyFont="1" applyFill="1" applyBorder="1" applyAlignment="1">
      <alignment horizontal="center" vertical="center"/>
    </xf>
    <xf numFmtId="184" fontId="2" fillId="2" borderId="33" xfId="0" applyNumberFormat="1" applyFont="1" applyFill="1" applyBorder="1" applyAlignment="1">
      <alignment horizontal="center" vertical="center"/>
    </xf>
    <xf numFmtId="184" fontId="2" fillId="2" borderId="34" xfId="0" applyNumberFormat="1" applyFont="1" applyFill="1" applyBorder="1" applyAlignment="1">
      <alignment horizontal="center" vertical="center"/>
    </xf>
    <xf numFmtId="184" fontId="2" fillId="2" borderId="35" xfId="0" applyNumberFormat="1" applyFont="1" applyFill="1" applyBorder="1" applyAlignment="1">
      <alignment horizontal="center" vertical="center"/>
    </xf>
    <xf numFmtId="184" fontId="2" fillId="2" borderId="36" xfId="0" applyNumberFormat="1" applyFont="1" applyFill="1" applyBorder="1" applyAlignment="1">
      <alignment horizontal="center" vertical="center"/>
    </xf>
    <xf numFmtId="184" fontId="2" fillId="2" borderId="3" xfId="0" applyNumberFormat="1" applyFont="1" applyFill="1" applyBorder="1" applyAlignment="1">
      <alignment horizontal="center" vertical="center"/>
    </xf>
    <xf numFmtId="184" fontId="2" fillId="2" borderId="4" xfId="0" applyNumberFormat="1" applyFont="1" applyFill="1" applyBorder="1" applyAlignment="1">
      <alignment horizontal="center" vertical="center"/>
    </xf>
    <xf numFmtId="184" fontId="2" fillId="2" borderId="5" xfId="0" applyNumberFormat="1" applyFont="1" applyFill="1" applyBorder="1" applyAlignment="1">
      <alignment horizontal="center" vertical="center"/>
    </xf>
    <xf numFmtId="184" fontId="2" fillId="2" borderId="12" xfId="0" applyNumberFormat="1" applyFont="1" applyFill="1" applyBorder="1" applyAlignment="1">
      <alignment horizontal="center" vertical="center"/>
    </xf>
    <xf numFmtId="184" fontId="2" fillId="2" borderId="37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184" fontId="2" fillId="0" borderId="3" xfId="0" applyNumberFormat="1" applyFont="1" applyBorder="1" applyAlignment="1" applyProtection="1">
      <alignment vertical="center"/>
      <protection locked="0"/>
    </xf>
    <xf numFmtId="184" fontId="2" fillId="0" borderId="9" xfId="0" applyNumberFormat="1" applyFont="1" applyBorder="1" applyAlignment="1" applyProtection="1">
      <alignment vertical="center"/>
      <protection locked="0"/>
    </xf>
    <xf numFmtId="184" fontId="2" fillId="0" borderId="4" xfId="0" applyNumberFormat="1" applyFont="1" applyBorder="1" applyAlignment="1" applyProtection="1">
      <alignment vertical="center"/>
      <protection locked="0"/>
    </xf>
    <xf numFmtId="184" fontId="2" fillId="0" borderId="10" xfId="0" applyNumberFormat="1" applyFont="1" applyBorder="1" applyAlignment="1" applyProtection="1">
      <alignment vertical="center"/>
      <protection locked="0"/>
    </xf>
    <xf numFmtId="184" fontId="2" fillId="0" borderId="5" xfId="0" applyNumberFormat="1" applyFont="1" applyBorder="1" applyAlignment="1" applyProtection="1">
      <alignment vertical="center"/>
      <protection locked="0"/>
    </xf>
    <xf numFmtId="184" fontId="2" fillId="0" borderId="11" xfId="0" applyNumberFormat="1" applyFont="1" applyBorder="1" applyAlignment="1" applyProtection="1">
      <alignment vertical="center"/>
      <protection locked="0"/>
    </xf>
    <xf numFmtId="184" fontId="2" fillId="0" borderId="12" xfId="0" applyNumberFormat="1" applyFont="1" applyBorder="1" applyAlignment="1" applyProtection="1">
      <alignment vertical="center"/>
      <protection locked="0"/>
    </xf>
    <xf numFmtId="184" fontId="2" fillId="0" borderId="13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2" borderId="42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vertical="center"/>
    </xf>
    <xf numFmtId="181" fontId="2" fillId="3" borderId="33" xfId="0" applyNumberFormat="1" applyFont="1" applyFill="1" applyBorder="1" applyAlignment="1">
      <alignment vertical="center"/>
    </xf>
    <xf numFmtId="181" fontId="2" fillId="3" borderId="3" xfId="0" applyNumberFormat="1" applyFont="1" applyFill="1" applyBorder="1" applyAlignment="1">
      <alignment vertical="center"/>
    </xf>
    <xf numFmtId="188" fontId="2" fillId="3" borderId="37" xfId="0" applyNumberFormat="1" applyFont="1" applyFill="1" applyBorder="1" applyAlignment="1">
      <alignment vertical="center"/>
    </xf>
    <xf numFmtId="188" fontId="2" fillId="3" borderId="3" xfId="0" applyNumberFormat="1" applyFont="1" applyFill="1" applyBorder="1" applyAlignment="1">
      <alignment vertical="center"/>
    </xf>
    <xf numFmtId="189" fontId="2" fillId="3" borderId="9" xfId="0" applyNumberFormat="1" applyFont="1" applyFill="1" applyBorder="1" applyAlignment="1">
      <alignment vertical="center"/>
    </xf>
    <xf numFmtId="188" fontId="2" fillId="3" borderId="33" xfId="0" applyNumberFormat="1" applyFont="1" applyFill="1" applyBorder="1" applyAlignment="1">
      <alignment vertical="center"/>
    </xf>
    <xf numFmtId="187" fontId="2" fillId="3" borderId="3" xfId="0" applyNumberFormat="1" applyFont="1" applyFill="1" applyBorder="1" applyAlignment="1">
      <alignment vertical="center"/>
    </xf>
    <xf numFmtId="187" fontId="2" fillId="3" borderId="9" xfId="0" applyNumberFormat="1" applyFont="1" applyFill="1" applyBorder="1" applyAlignment="1">
      <alignment vertical="center"/>
    </xf>
    <xf numFmtId="187" fontId="2" fillId="3" borderId="33" xfId="0" applyNumberFormat="1" applyFont="1" applyFill="1" applyBorder="1" applyAlignment="1">
      <alignment vertical="center"/>
    </xf>
    <xf numFmtId="181" fontId="2" fillId="3" borderId="37" xfId="0" applyNumberFormat="1" applyFont="1" applyFill="1" applyBorder="1" applyAlignment="1">
      <alignment vertical="center"/>
    </xf>
    <xf numFmtId="190" fontId="2" fillId="3" borderId="9" xfId="0" applyNumberFormat="1" applyFont="1" applyFill="1" applyBorder="1" applyAlignment="1">
      <alignment vertical="center"/>
    </xf>
    <xf numFmtId="181" fontId="2" fillId="3" borderId="34" xfId="0" applyNumberFormat="1" applyFont="1" applyFill="1" applyBorder="1" applyAlignment="1">
      <alignment vertical="center"/>
    </xf>
    <xf numFmtId="181" fontId="2" fillId="3" borderId="4" xfId="0" applyNumberFormat="1" applyFont="1" applyFill="1" applyBorder="1" applyAlignment="1">
      <alignment vertical="center"/>
    </xf>
    <xf numFmtId="188" fontId="2" fillId="3" borderId="29" xfId="0" applyNumberFormat="1" applyFont="1" applyFill="1" applyBorder="1" applyAlignment="1">
      <alignment vertical="center"/>
    </xf>
    <xf numFmtId="188" fontId="2" fillId="3" borderId="4" xfId="0" applyNumberFormat="1" applyFont="1" applyFill="1" applyBorder="1" applyAlignment="1">
      <alignment vertical="center"/>
    </xf>
    <xf numFmtId="189" fontId="2" fillId="3" borderId="10" xfId="0" applyNumberFormat="1" applyFont="1" applyFill="1" applyBorder="1" applyAlignment="1">
      <alignment vertical="center"/>
    </xf>
    <xf numFmtId="188" fontId="2" fillId="3" borderId="34" xfId="0" applyNumberFormat="1" applyFont="1" applyFill="1" applyBorder="1" applyAlignment="1">
      <alignment vertical="center"/>
    </xf>
    <xf numFmtId="187" fontId="2" fillId="3" borderId="4" xfId="0" applyNumberFormat="1" applyFont="1" applyFill="1" applyBorder="1" applyAlignment="1">
      <alignment vertical="center"/>
    </xf>
    <xf numFmtId="187" fontId="2" fillId="3" borderId="10" xfId="0" applyNumberFormat="1" applyFont="1" applyFill="1" applyBorder="1" applyAlignment="1">
      <alignment vertical="center"/>
    </xf>
    <xf numFmtId="187" fontId="2" fillId="3" borderId="34" xfId="0" applyNumberFormat="1" applyFont="1" applyFill="1" applyBorder="1" applyAlignment="1">
      <alignment vertical="center"/>
    </xf>
    <xf numFmtId="181" fontId="2" fillId="3" borderId="29" xfId="0" applyNumberFormat="1" applyFont="1" applyFill="1" applyBorder="1" applyAlignment="1">
      <alignment vertical="center"/>
    </xf>
    <xf numFmtId="190" fontId="2" fillId="3" borderId="10" xfId="0" applyNumberFormat="1" applyFont="1" applyFill="1" applyBorder="1" applyAlignment="1">
      <alignment vertical="center"/>
    </xf>
    <xf numFmtId="187" fontId="2" fillId="3" borderId="35" xfId="0" applyNumberFormat="1" applyFont="1" applyFill="1" applyBorder="1" applyAlignment="1">
      <alignment vertical="center"/>
    </xf>
    <xf numFmtId="181" fontId="2" fillId="3" borderId="5" xfId="0" applyNumberFormat="1" applyFont="1" applyFill="1" applyBorder="1" applyAlignment="1">
      <alignment vertical="center"/>
    </xf>
    <xf numFmtId="188" fontId="2" fillId="3" borderId="30" xfId="0" applyNumberFormat="1" applyFont="1" applyFill="1" applyBorder="1" applyAlignment="1">
      <alignment vertical="center"/>
    </xf>
    <xf numFmtId="188" fontId="2" fillId="3" borderId="5" xfId="0" applyNumberFormat="1" applyFont="1" applyFill="1" applyBorder="1" applyAlignment="1">
      <alignment vertical="center"/>
    </xf>
    <xf numFmtId="189" fontId="2" fillId="3" borderId="11" xfId="0" applyNumberFormat="1" applyFont="1" applyFill="1" applyBorder="1" applyAlignment="1">
      <alignment vertical="center"/>
    </xf>
    <xf numFmtId="187" fontId="2" fillId="3" borderId="5" xfId="0" applyNumberFormat="1" applyFont="1" applyFill="1" applyBorder="1" applyAlignment="1">
      <alignment vertical="center"/>
    </xf>
    <xf numFmtId="187" fontId="2" fillId="3" borderId="11" xfId="0" applyNumberFormat="1" applyFont="1" applyFill="1" applyBorder="1" applyAlignment="1">
      <alignment vertical="center"/>
    </xf>
    <xf numFmtId="181" fontId="2" fillId="3" borderId="30" xfId="0" applyNumberFormat="1" applyFont="1" applyFill="1" applyBorder="1" applyAlignment="1">
      <alignment vertical="center"/>
    </xf>
    <xf numFmtId="190" fontId="2" fillId="3" borderId="11" xfId="0" applyNumberFormat="1" applyFont="1" applyFill="1" applyBorder="1" applyAlignment="1">
      <alignment vertical="center"/>
    </xf>
    <xf numFmtId="181" fontId="2" fillId="3" borderId="43" xfId="0" applyNumberFormat="1" applyFont="1" applyFill="1" applyBorder="1" applyAlignment="1">
      <alignment vertical="center"/>
    </xf>
    <xf numFmtId="181" fontId="2" fillId="3" borderId="44" xfId="0" applyNumberFormat="1" applyFont="1" applyFill="1" applyBorder="1" applyAlignment="1">
      <alignment vertical="center"/>
    </xf>
    <xf numFmtId="188" fontId="2" fillId="3" borderId="44" xfId="0" applyNumberFormat="1" applyFont="1" applyFill="1" applyBorder="1" applyAlignment="1">
      <alignment vertical="center"/>
    </xf>
    <xf numFmtId="189" fontId="2" fillId="3" borderId="45" xfId="0" applyNumberFormat="1" applyFont="1" applyFill="1" applyBorder="1" applyAlignment="1">
      <alignment vertical="center"/>
    </xf>
    <xf numFmtId="188" fontId="2" fillId="3" borderId="43" xfId="0" applyNumberFormat="1" applyFont="1" applyFill="1" applyBorder="1" applyAlignment="1">
      <alignment vertical="center"/>
    </xf>
    <xf numFmtId="187" fontId="2" fillId="3" borderId="44" xfId="0" applyNumberFormat="1" applyFont="1" applyFill="1" applyBorder="1" applyAlignment="1">
      <alignment vertical="center"/>
    </xf>
    <xf numFmtId="187" fontId="2" fillId="3" borderId="45" xfId="0" applyNumberFormat="1" applyFont="1" applyFill="1" applyBorder="1" applyAlignment="1">
      <alignment vertical="center"/>
    </xf>
    <xf numFmtId="187" fontId="2" fillId="3" borderId="43" xfId="0" applyNumberFormat="1" applyFont="1" applyFill="1" applyBorder="1" applyAlignment="1">
      <alignment vertical="center"/>
    </xf>
    <xf numFmtId="181" fontId="2" fillId="3" borderId="28" xfId="0" applyNumberFormat="1" applyFont="1" applyFill="1" applyBorder="1" applyAlignment="1">
      <alignment vertical="center"/>
    </xf>
    <xf numFmtId="187" fontId="2" fillId="3" borderId="36" xfId="0" applyNumberFormat="1" applyFont="1" applyFill="1" applyBorder="1" applyAlignment="1">
      <alignment vertical="center"/>
    </xf>
    <xf numFmtId="181" fontId="2" fillId="3" borderId="12" xfId="0" applyNumberFormat="1" applyFont="1" applyFill="1" applyBorder="1" applyAlignment="1">
      <alignment vertical="center"/>
    </xf>
    <xf numFmtId="188" fontId="2" fillId="3" borderId="32" xfId="0" applyNumberFormat="1" applyFont="1" applyFill="1" applyBorder="1" applyAlignment="1">
      <alignment vertical="center"/>
    </xf>
    <xf numFmtId="188" fontId="2" fillId="3" borderId="12" xfId="0" applyNumberFormat="1" applyFont="1" applyFill="1" applyBorder="1" applyAlignment="1">
      <alignment vertical="center"/>
    </xf>
    <xf numFmtId="189" fontId="2" fillId="3" borderId="13" xfId="0" applyNumberFormat="1" applyFont="1" applyFill="1" applyBorder="1" applyAlignment="1">
      <alignment vertical="center"/>
    </xf>
    <xf numFmtId="187" fontId="2" fillId="3" borderId="12" xfId="0" applyNumberFormat="1" applyFont="1" applyFill="1" applyBorder="1" applyAlignment="1">
      <alignment vertical="center"/>
    </xf>
    <xf numFmtId="187" fontId="2" fillId="3" borderId="13" xfId="0" applyNumberFormat="1" applyFont="1" applyFill="1" applyBorder="1" applyAlignment="1">
      <alignment vertical="center"/>
    </xf>
    <xf numFmtId="181" fontId="2" fillId="3" borderId="32" xfId="0" applyNumberFormat="1" applyFont="1" applyFill="1" applyBorder="1" applyAlignment="1">
      <alignment vertical="center"/>
    </xf>
    <xf numFmtId="190" fontId="2" fillId="3" borderId="13" xfId="0" applyNumberFormat="1" applyFont="1" applyFill="1" applyBorder="1" applyAlignment="1">
      <alignment vertical="center"/>
    </xf>
    <xf numFmtId="11" fontId="2" fillId="3" borderId="33" xfId="0" applyNumberFormat="1" applyFont="1" applyFill="1" applyBorder="1" applyAlignment="1">
      <alignment vertical="center"/>
    </xf>
    <xf numFmtId="11" fontId="2" fillId="3" borderId="3" xfId="0" applyNumberFormat="1" applyFont="1" applyFill="1" applyBorder="1" applyAlignment="1">
      <alignment vertical="center"/>
    </xf>
    <xf numFmtId="11" fontId="2" fillId="3" borderId="9" xfId="0" applyNumberFormat="1" applyFont="1" applyFill="1" applyBorder="1" applyAlignment="1">
      <alignment vertical="center"/>
    </xf>
    <xf numFmtId="181" fontId="2" fillId="3" borderId="9" xfId="0" applyNumberFormat="1" applyFont="1" applyFill="1" applyBorder="1" applyAlignment="1">
      <alignment vertical="center"/>
    </xf>
    <xf numFmtId="11" fontId="2" fillId="3" borderId="34" xfId="0" applyNumberFormat="1" applyFont="1" applyFill="1" applyBorder="1" applyAlignment="1">
      <alignment vertical="center"/>
    </xf>
    <xf numFmtId="11" fontId="2" fillId="3" borderId="4" xfId="0" applyNumberFormat="1" applyFont="1" applyFill="1" applyBorder="1" applyAlignment="1">
      <alignment vertical="center"/>
    </xf>
    <xf numFmtId="11" fontId="2" fillId="3" borderId="10" xfId="0" applyNumberFormat="1" applyFont="1" applyFill="1" applyBorder="1" applyAlignment="1">
      <alignment vertical="center"/>
    </xf>
    <xf numFmtId="181" fontId="2" fillId="3" borderId="10" xfId="0" applyNumberFormat="1" applyFont="1" applyFill="1" applyBorder="1" applyAlignment="1">
      <alignment vertical="center"/>
    </xf>
    <xf numFmtId="11" fontId="2" fillId="3" borderId="35" xfId="0" applyNumberFormat="1" applyFont="1" applyFill="1" applyBorder="1" applyAlignment="1">
      <alignment vertical="center"/>
    </xf>
    <xf numFmtId="11" fontId="2" fillId="3" borderId="5" xfId="0" applyNumberFormat="1" applyFont="1" applyFill="1" applyBorder="1" applyAlignment="1">
      <alignment vertical="center"/>
    </xf>
    <xf numFmtId="11" fontId="2" fillId="3" borderId="11" xfId="0" applyNumberFormat="1" applyFont="1" applyFill="1" applyBorder="1" applyAlignment="1">
      <alignment vertical="center"/>
    </xf>
    <xf numFmtId="181" fontId="2" fillId="3" borderId="35" xfId="0" applyNumberFormat="1" applyFont="1" applyFill="1" applyBorder="1" applyAlignment="1">
      <alignment vertical="center"/>
    </xf>
    <xf numFmtId="181" fontId="2" fillId="3" borderId="11" xfId="0" applyNumberFormat="1" applyFont="1" applyFill="1" applyBorder="1" applyAlignment="1">
      <alignment vertical="center"/>
    </xf>
    <xf numFmtId="181" fontId="2" fillId="3" borderId="45" xfId="0" applyNumberFormat="1" applyFont="1" applyFill="1" applyBorder="1" applyAlignment="1">
      <alignment vertical="center"/>
    </xf>
    <xf numFmtId="181" fontId="2" fillId="3" borderId="36" xfId="0" applyNumberFormat="1" applyFont="1" applyFill="1" applyBorder="1" applyAlignment="1">
      <alignment vertical="center"/>
    </xf>
    <xf numFmtId="181" fontId="2" fillId="3" borderId="13" xfId="0" applyNumberFormat="1" applyFont="1" applyFill="1" applyBorder="1" applyAlignment="1">
      <alignment vertical="center"/>
    </xf>
    <xf numFmtId="187" fontId="2" fillId="0" borderId="3" xfId="0" applyNumberFormat="1" applyFont="1" applyBorder="1" applyAlignment="1" applyProtection="1">
      <alignment vertical="center"/>
      <protection locked="0"/>
    </xf>
    <xf numFmtId="187" fontId="2" fillId="0" borderId="9" xfId="0" applyNumberFormat="1" applyFont="1" applyBorder="1" applyAlignment="1" applyProtection="1">
      <alignment vertical="center"/>
      <protection locked="0"/>
    </xf>
    <xf numFmtId="187" fontId="2" fillId="0" borderId="4" xfId="0" applyNumberFormat="1" applyFont="1" applyBorder="1" applyAlignment="1" applyProtection="1">
      <alignment vertical="center"/>
      <protection locked="0"/>
    </xf>
    <xf numFmtId="187" fontId="2" fillId="0" borderId="10" xfId="0" applyNumberFormat="1" applyFont="1" applyBorder="1" applyAlignment="1" applyProtection="1">
      <alignment vertical="center"/>
      <protection locked="0"/>
    </xf>
    <xf numFmtId="187" fontId="2" fillId="0" borderId="5" xfId="0" applyNumberFormat="1" applyFont="1" applyBorder="1" applyAlignment="1" applyProtection="1">
      <alignment vertical="center"/>
      <protection locked="0"/>
    </xf>
    <xf numFmtId="187" fontId="2" fillId="0" borderId="11" xfId="0" applyNumberFormat="1" applyFont="1" applyBorder="1" applyAlignment="1" applyProtection="1">
      <alignment vertical="center"/>
      <protection locked="0"/>
    </xf>
    <xf numFmtId="187" fontId="2" fillId="0" borderId="44" xfId="0" applyNumberFormat="1" applyFont="1" applyBorder="1" applyAlignment="1" applyProtection="1">
      <alignment vertical="center"/>
      <protection locked="0"/>
    </xf>
    <xf numFmtId="187" fontId="2" fillId="0" borderId="45" xfId="0" applyNumberFormat="1" applyFont="1" applyBorder="1" applyAlignment="1" applyProtection="1">
      <alignment vertical="center"/>
      <protection locked="0"/>
    </xf>
    <xf numFmtId="187" fontId="2" fillId="0" borderId="12" xfId="0" applyNumberFormat="1" applyFont="1" applyBorder="1" applyAlignment="1" applyProtection="1">
      <alignment vertical="center"/>
      <protection locked="0"/>
    </xf>
    <xf numFmtId="187" fontId="2" fillId="0" borderId="13" xfId="0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84" fontId="2" fillId="2" borderId="3" xfId="0" applyNumberFormat="1" applyFont="1" applyFill="1" applyBorder="1" applyAlignment="1" applyProtection="1">
      <alignment horizontal="center" vertical="center"/>
      <protection/>
    </xf>
    <xf numFmtId="184" fontId="2" fillId="2" borderId="4" xfId="0" applyNumberFormat="1" applyFont="1" applyFill="1" applyBorder="1" applyAlignment="1" applyProtection="1">
      <alignment horizontal="center" vertical="center"/>
      <protection/>
    </xf>
    <xf numFmtId="184" fontId="2" fillId="2" borderId="5" xfId="0" applyNumberFormat="1" applyFont="1" applyFill="1" applyBorder="1" applyAlignment="1" applyProtection="1">
      <alignment horizontal="center" vertical="center"/>
      <protection/>
    </xf>
    <xf numFmtId="184" fontId="2" fillId="2" borderId="12" xfId="0" applyNumberFormat="1" applyFont="1" applyFill="1" applyBorder="1" applyAlignment="1" applyProtection="1">
      <alignment horizontal="center" vertical="center"/>
      <protection/>
    </xf>
    <xf numFmtId="184" fontId="2" fillId="2" borderId="33" xfId="0" applyNumberFormat="1" applyFont="1" applyFill="1" applyBorder="1" applyAlignment="1" applyProtection="1">
      <alignment horizontal="center" vertical="center"/>
      <protection/>
    </xf>
    <xf numFmtId="184" fontId="2" fillId="2" borderId="34" xfId="0" applyNumberFormat="1" applyFont="1" applyFill="1" applyBorder="1" applyAlignment="1" applyProtection="1">
      <alignment horizontal="center" vertical="center"/>
      <protection/>
    </xf>
    <xf numFmtId="184" fontId="2" fillId="2" borderId="35" xfId="0" applyNumberFormat="1" applyFont="1" applyFill="1" applyBorder="1" applyAlignment="1" applyProtection="1">
      <alignment horizontal="center" vertical="center"/>
      <protection/>
    </xf>
    <xf numFmtId="184" fontId="2" fillId="2" borderId="36" xfId="0" applyNumberFormat="1" applyFont="1" applyFill="1" applyBorder="1" applyAlignment="1" applyProtection="1">
      <alignment horizontal="center" vertical="center"/>
      <protection/>
    </xf>
    <xf numFmtId="11" fontId="2" fillId="3" borderId="36" xfId="0" applyNumberFormat="1" applyFont="1" applyFill="1" applyBorder="1" applyAlignment="1">
      <alignment vertical="center"/>
    </xf>
    <xf numFmtId="11" fontId="2" fillId="3" borderId="12" xfId="0" applyNumberFormat="1" applyFont="1" applyFill="1" applyBorder="1" applyAlignment="1">
      <alignment vertical="center"/>
    </xf>
    <xf numFmtId="11" fontId="2" fillId="3" borderId="13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190" fontId="2" fillId="3" borderId="3" xfId="0" applyNumberFormat="1" applyFont="1" applyFill="1" applyBorder="1" applyAlignment="1">
      <alignment vertical="center"/>
    </xf>
    <xf numFmtId="190" fontId="2" fillId="3" borderId="4" xfId="0" applyNumberFormat="1" applyFont="1" applyFill="1" applyBorder="1" applyAlignment="1">
      <alignment vertical="center"/>
    </xf>
    <xf numFmtId="190" fontId="2" fillId="3" borderId="5" xfId="0" applyNumberFormat="1" applyFont="1" applyFill="1" applyBorder="1" applyAlignment="1">
      <alignment vertical="center"/>
    </xf>
    <xf numFmtId="190" fontId="2" fillId="3" borderId="12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181" fontId="2" fillId="4" borderId="3" xfId="0" applyNumberFormat="1" applyFont="1" applyFill="1" applyBorder="1" applyAlignment="1">
      <alignment vertical="center"/>
    </xf>
    <xf numFmtId="181" fontId="2" fillId="4" borderId="46" xfId="0" applyNumberFormat="1" applyFont="1" applyFill="1" applyBorder="1" applyAlignment="1">
      <alignment vertical="center"/>
    </xf>
    <xf numFmtId="181" fontId="2" fillId="4" borderId="33" xfId="0" applyNumberFormat="1" applyFont="1" applyFill="1" applyBorder="1" applyAlignment="1">
      <alignment vertical="center"/>
    </xf>
    <xf numFmtId="181" fontId="2" fillId="4" borderId="4" xfId="0" applyNumberFormat="1" applyFont="1" applyFill="1" applyBorder="1" applyAlignment="1">
      <alignment vertical="center"/>
    </xf>
    <xf numFmtId="181" fontId="2" fillId="4" borderId="47" xfId="0" applyNumberFormat="1" applyFont="1" applyFill="1" applyBorder="1" applyAlignment="1">
      <alignment vertical="center"/>
    </xf>
    <xf numFmtId="181" fontId="2" fillId="4" borderId="34" xfId="0" applyNumberFormat="1" applyFont="1" applyFill="1" applyBorder="1" applyAlignment="1">
      <alignment vertical="center"/>
    </xf>
    <xf numFmtId="181" fontId="2" fillId="4" borderId="5" xfId="0" applyNumberFormat="1" applyFont="1" applyFill="1" applyBorder="1" applyAlignment="1">
      <alignment vertical="center"/>
    </xf>
    <xf numFmtId="181" fontId="2" fillId="4" borderId="48" xfId="0" applyNumberFormat="1" applyFont="1" applyFill="1" applyBorder="1" applyAlignment="1">
      <alignment vertical="center"/>
    </xf>
    <xf numFmtId="181" fontId="2" fillId="4" borderId="35" xfId="0" applyNumberFormat="1" applyFont="1" applyFill="1" applyBorder="1" applyAlignment="1">
      <alignment vertical="center"/>
    </xf>
    <xf numFmtId="181" fontId="2" fillId="4" borderId="44" xfId="0" applyNumberFormat="1" applyFont="1" applyFill="1" applyBorder="1" applyAlignment="1">
      <alignment vertical="center"/>
    </xf>
    <xf numFmtId="181" fontId="2" fillId="4" borderId="49" xfId="0" applyNumberFormat="1" applyFont="1" applyFill="1" applyBorder="1" applyAlignment="1">
      <alignment vertical="center"/>
    </xf>
    <xf numFmtId="181" fontId="2" fillId="4" borderId="43" xfId="0" applyNumberFormat="1" applyFont="1" applyFill="1" applyBorder="1" applyAlignment="1">
      <alignment vertical="center"/>
    </xf>
    <xf numFmtId="181" fontId="2" fillId="4" borderId="12" xfId="0" applyNumberFormat="1" applyFont="1" applyFill="1" applyBorder="1" applyAlignment="1">
      <alignment vertical="center"/>
    </xf>
    <xf numFmtId="181" fontId="2" fillId="4" borderId="50" xfId="0" applyNumberFormat="1" applyFont="1" applyFill="1" applyBorder="1" applyAlignment="1">
      <alignment vertical="center"/>
    </xf>
    <xf numFmtId="181" fontId="2" fillId="4" borderId="36" xfId="0" applyNumberFormat="1" applyFont="1" applyFill="1" applyBorder="1" applyAlignment="1">
      <alignment vertical="center"/>
    </xf>
    <xf numFmtId="190" fontId="2" fillId="4" borderId="46" xfId="0" applyNumberFormat="1" applyFont="1" applyFill="1" applyBorder="1" applyAlignment="1">
      <alignment vertical="center"/>
    </xf>
    <xf numFmtId="190" fontId="2" fillId="4" borderId="47" xfId="0" applyNumberFormat="1" applyFont="1" applyFill="1" applyBorder="1" applyAlignment="1">
      <alignment vertical="center"/>
    </xf>
    <xf numFmtId="190" fontId="2" fillId="4" borderId="48" xfId="0" applyNumberFormat="1" applyFont="1" applyFill="1" applyBorder="1" applyAlignment="1">
      <alignment vertical="center"/>
    </xf>
    <xf numFmtId="190" fontId="2" fillId="4" borderId="49" xfId="0" applyNumberFormat="1" applyFont="1" applyFill="1" applyBorder="1" applyAlignment="1">
      <alignment vertical="center"/>
    </xf>
    <xf numFmtId="190" fontId="2" fillId="4" borderId="50" xfId="0" applyNumberFormat="1" applyFont="1" applyFill="1" applyBorder="1" applyAlignment="1">
      <alignment vertical="center"/>
    </xf>
    <xf numFmtId="190" fontId="2" fillId="4" borderId="9" xfId="0" applyNumberFormat="1" applyFont="1" applyFill="1" applyBorder="1" applyAlignment="1">
      <alignment vertical="center"/>
    </xf>
    <xf numFmtId="190" fontId="2" fillId="4" borderId="10" xfId="0" applyNumberFormat="1" applyFont="1" applyFill="1" applyBorder="1" applyAlignment="1">
      <alignment vertical="center"/>
    </xf>
    <xf numFmtId="190" fontId="2" fillId="4" borderId="11" xfId="0" applyNumberFormat="1" applyFont="1" applyFill="1" applyBorder="1" applyAlignment="1">
      <alignment vertical="center"/>
    </xf>
    <xf numFmtId="190" fontId="2" fillId="4" borderId="45" xfId="0" applyNumberFormat="1" applyFont="1" applyFill="1" applyBorder="1" applyAlignment="1">
      <alignment vertical="center"/>
    </xf>
    <xf numFmtId="190" fontId="2" fillId="4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51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2" fillId="5" borderId="52" xfId="0" applyFont="1" applyFill="1" applyBorder="1" applyAlignment="1">
      <alignment vertical="center"/>
    </xf>
    <xf numFmtId="0" fontId="2" fillId="5" borderId="53" xfId="0" applyFont="1" applyFill="1" applyBorder="1" applyAlignment="1">
      <alignment vertical="center"/>
    </xf>
    <xf numFmtId="0" fontId="2" fillId="5" borderId="54" xfId="0" applyFont="1" applyFill="1" applyBorder="1" applyAlignment="1">
      <alignment vertical="center"/>
    </xf>
    <xf numFmtId="0" fontId="2" fillId="5" borderId="38" xfId="0" applyFont="1" applyFill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1" xfId="0" applyFont="1" applyFill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2" fillId="0" borderId="51" xfId="0" applyFont="1" applyFill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61" xfId="0" applyFont="1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2" fillId="2" borderId="59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 wrapText="1"/>
    </xf>
    <xf numFmtId="0" fontId="0" fillId="2" borderId="64" xfId="0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51" xfId="0" applyFont="1" applyBorder="1" applyAlignment="1">
      <alignment vertical="center" wrapText="1"/>
    </xf>
    <xf numFmtId="0" fontId="2" fillId="2" borderId="52" xfId="0" applyFont="1" applyFill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67" xfId="0" applyFont="1" applyFill="1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0" fillId="0" borderId="55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tabSelected="1" workbookViewId="0" topLeftCell="A1">
      <selection activeCell="K33" sqref="K33"/>
    </sheetView>
  </sheetViews>
  <sheetFormatPr defaultColWidth="8.796875" defaultRowHeight="15"/>
  <cols>
    <col min="1" max="2" width="4.59765625" style="1" customWidth="1"/>
    <col min="3" max="3" width="3.59765625" style="1" customWidth="1"/>
    <col min="4" max="4" width="4.59765625" style="1" customWidth="1"/>
    <col min="5" max="9" width="17.59765625" style="1" customWidth="1"/>
    <col min="10" max="10" width="3.59765625" style="1" customWidth="1"/>
    <col min="11" max="11" width="4.59765625" style="1" customWidth="1"/>
    <col min="12" max="16384" width="9" style="1" customWidth="1"/>
  </cols>
  <sheetData>
    <row r="1" ht="15" customHeight="1">
      <c r="K1" s="77"/>
    </row>
    <row r="2" spans="2:11" ht="15" customHeight="1">
      <c r="B2" s="83"/>
      <c r="C2" s="79"/>
      <c r="D2" s="79"/>
      <c r="E2" s="79"/>
      <c r="F2" s="79"/>
      <c r="G2" s="79"/>
      <c r="H2" s="79"/>
      <c r="I2" s="80"/>
      <c r="J2" s="80"/>
      <c r="K2" s="84"/>
    </row>
    <row r="3" spans="2:11" ht="15" customHeight="1">
      <c r="B3" s="81"/>
      <c r="C3" s="76"/>
      <c r="D3" s="16"/>
      <c r="E3" s="16"/>
      <c r="F3" s="16"/>
      <c r="G3" s="16"/>
      <c r="H3" s="16"/>
      <c r="I3" s="78"/>
      <c r="J3" s="78"/>
      <c r="K3" s="85"/>
    </row>
    <row r="4" spans="2:11" ht="15" customHeight="1">
      <c r="B4" s="81"/>
      <c r="C4" s="76"/>
      <c r="D4" s="240" t="s">
        <v>105</v>
      </c>
      <c r="E4" s="241"/>
      <c r="F4" s="241"/>
      <c r="G4" s="242"/>
      <c r="H4" s="16"/>
      <c r="I4" s="78">
        <v>2009.3</v>
      </c>
      <c r="J4" s="78"/>
      <c r="K4" s="81"/>
    </row>
    <row r="5" spans="2:11" ht="15" customHeight="1">
      <c r="B5" s="81"/>
      <c r="C5" s="76"/>
      <c r="D5" s="16"/>
      <c r="E5" s="16"/>
      <c r="F5" s="16"/>
      <c r="G5" s="16"/>
      <c r="H5" s="16"/>
      <c r="I5" s="16"/>
      <c r="J5" s="16"/>
      <c r="K5" s="81"/>
    </row>
    <row r="6" spans="2:11" ht="15" customHeight="1">
      <c r="B6" s="81"/>
      <c r="C6" s="76"/>
      <c r="D6" s="16"/>
      <c r="E6" s="16"/>
      <c r="F6" s="16"/>
      <c r="G6" s="16"/>
      <c r="H6" s="16"/>
      <c r="I6" s="16"/>
      <c r="J6" s="16"/>
      <c r="K6" s="81"/>
    </row>
    <row r="7" spans="2:11" ht="15" customHeight="1">
      <c r="B7" s="81"/>
      <c r="C7" s="76"/>
      <c r="D7" s="16"/>
      <c r="E7" s="75" t="s">
        <v>135</v>
      </c>
      <c r="F7" s="76"/>
      <c r="G7" s="76"/>
      <c r="H7" s="76"/>
      <c r="I7" s="76"/>
      <c r="J7" s="76"/>
      <c r="K7" s="81"/>
    </row>
    <row r="8" spans="2:11" ht="15" customHeight="1">
      <c r="B8" s="81"/>
      <c r="C8" s="76"/>
      <c r="D8" s="16"/>
      <c r="E8" s="76"/>
      <c r="F8" s="76"/>
      <c r="G8" s="76"/>
      <c r="H8" s="76"/>
      <c r="I8" s="76"/>
      <c r="J8" s="76"/>
      <c r="K8" s="81"/>
    </row>
    <row r="9" spans="2:11" ht="15" customHeight="1">
      <c r="B9" s="81"/>
      <c r="C9" s="76"/>
      <c r="D9" s="16"/>
      <c r="E9" s="76" t="s">
        <v>40</v>
      </c>
      <c r="F9" s="76"/>
      <c r="G9" s="76" t="s">
        <v>64</v>
      </c>
      <c r="H9" s="76"/>
      <c r="I9" s="76"/>
      <c r="J9" s="76"/>
      <c r="K9" s="81"/>
    </row>
    <row r="10" spans="2:11" ht="15" customHeight="1">
      <c r="B10" s="81"/>
      <c r="C10" s="76"/>
      <c r="D10" s="16"/>
      <c r="E10" s="76"/>
      <c r="F10" s="76"/>
      <c r="G10" s="76" t="s">
        <v>65</v>
      </c>
      <c r="H10" s="76"/>
      <c r="I10" s="76"/>
      <c r="J10" s="76"/>
      <c r="K10" s="81"/>
    </row>
    <row r="11" spans="2:11" ht="15" customHeight="1">
      <c r="B11" s="81"/>
      <c r="C11" s="76"/>
      <c r="D11" s="16"/>
      <c r="E11" s="76"/>
      <c r="F11" s="76"/>
      <c r="G11" s="76"/>
      <c r="H11" s="76"/>
      <c r="I11" s="76"/>
      <c r="J11" s="76"/>
      <c r="K11" s="81"/>
    </row>
    <row r="12" spans="2:11" ht="15" customHeight="1">
      <c r="B12" s="81"/>
      <c r="C12" s="76"/>
      <c r="D12" s="16"/>
      <c r="E12" s="76" t="s">
        <v>41</v>
      </c>
      <c r="F12" s="76"/>
      <c r="G12" s="76" t="s">
        <v>101</v>
      </c>
      <c r="H12" s="76"/>
      <c r="I12" s="76"/>
      <c r="J12" s="76"/>
      <c r="K12" s="81"/>
    </row>
    <row r="13" spans="2:11" ht="15" customHeight="1">
      <c r="B13" s="81"/>
      <c r="C13" s="76"/>
      <c r="D13" s="16"/>
      <c r="E13" s="76"/>
      <c r="F13" s="76"/>
      <c r="G13" s="76" t="s">
        <v>42</v>
      </c>
      <c r="H13" s="76"/>
      <c r="I13" s="76"/>
      <c r="J13" s="76"/>
      <c r="K13" s="81"/>
    </row>
    <row r="14" spans="2:11" ht="15" customHeight="1">
      <c r="B14" s="81"/>
      <c r="C14" s="76"/>
      <c r="D14" s="16"/>
      <c r="E14" s="76"/>
      <c r="F14" s="76"/>
      <c r="G14" s="76"/>
      <c r="H14" s="76"/>
      <c r="I14" s="76"/>
      <c r="J14" s="76"/>
      <c r="K14" s="81"/>
    </row>
    <row r="15" spans="2:11" ht="15" customHeight="1">
      <c r="B15" s="81"/>
      <c r="C15" s="76"/>
      <c r="D15" s="16"/>
      <c r="E15" s="76" t="s">
        <v>102</v>
      </c>
      <c r="F15" s="76"/>
      <c r="G15" s="76" t="s">
        <v>103</v>
      </c>
      <c r="H15" s="76"/>
      <c r="I15" s="76"/>
      <c r="J15" s="76"/>
      <c r="K15" s="81"/>
    </row>
    <row r="16" spans="2:11" ht="15" customHeight="1">
      <c r="B16" s="81"/>
      <c r="C16" s="76"/>
      <c r="D16" s="16"/>
      <c r="E16" s="76"/>
      <c r="F16" s="76"/>
      <c r="G16" s="76" t="s">
        <v>104</v>
      </c>
      <c r="H16" s="76"/>
      <c r="I16" s="76"/>
      <c r="J16" s="76"/>
      <c r="K16" s="81"/>
    </row>
    <row r="17" spans="2:11" ht="15" customHeight="1">
      <c r="B17" s="81"/>
      <c r="C17" s="76"/>
      <c r="D17" s="16"/>
      <c r="E17" s="76"/>
      <c r="F17" s="76"/>
      <c r="G17" s="76"/>
      <c r="H17" s="76"/>
      <c r="I17" s="76"/>
      <c r="J17" s="76"/>
      <c r="K17" s="81"/>
    </row>
    <row r="18" spans="2:11" ht="15" customHeight="1">
      <c r="B18" s="81"/>
      <c r="C18" s="76"/>
      <c r="D18" s="16"/>
      <c r="E18" s="76" t="s">
        <v>126</v>
      </c>
      <c r="F18" s="76"/>
      <c r="G18" s="76" t="s">
        <v>127</v>
      </c>
      <c r="H18" s="76"/>
      <c r="I18" s="76"/>
      <c r="J18" s="76"/>
      <c r="K18" s="81"/>
    </row>
    <row r="19" spans="2:11" ht="15" customHeight="1">
      <c r="B19" s="81"/>
      <c r="C19" s="76"/>
      <c r="D19" s="16"/>
      <c r="E19" s="76"/>
      <c r="F19" s="76"/>
      <c r="G19" s="76" t="s">
        <v>128</v>
      </c>
      <c r="H19" s="76"/>
      <c r="I19" s="76"/>
      <c r="J19" s="76"/>
      <c r="K19" s="81"/>
    </row>
    <row r="20" spans="2:11" ht="15" customHeight="1">
      <c r="B20" s="81"/>
      <c r="C20" s="76"/>
      <c r="D20" s="16"/>
      <c r="E20" s="76"/>
      <c r="F20" s="76"/>
      <c r="G20" s="76"/>
      <c r="H20" s="76"/>
      <c r="I20" s="76"/>
      <c r="J20" s="76"/>
      <c r="K20" s="81"/>
    </row>
    <row r="21" spans="2:11" ht="15" customHeight="1">
      <c r="B21" s="81"/>
      <c r="C21" s="76"/>
      <c r="D21" s="16"/>
      <c r="E21" s="76" t="s">
        <v>121</v>
      </c>
      <c r="F21" s="76"/>
      <c r="G21" s="76" t="s">
        <v>122</v>
      </c>
      <c r="H21" s="76"/>
      <c r="I21" s="76"/>
      <c r="J21" s="76"/>
      <c r="K21" s="81"/>
    </row>
    <row r="22" spans="2:11" ht="15" customHeight="1">
      <c r="B22" s="81"/>
      <c r="C22" s="76"/>
      <c r="D22" s="16"/>
      <c r="E22" s="76"/>
      <c r="F22" s="76"/>
      <c r="G22" s="76"/>
      <c r="H22" s="76"/>
      <c r="I22" s="76"/>
      <c r="J22" s="76"/>
      <c r="K22" s="81"/>
    </row>
    <row r="23" spans="2:11" ht="15" customHeight="1">
      <c r="B23" s="81"/>
      <c r="C23" s="76"/>
      <c r="D23" s="16"/>
      <c r="E23" s="76"/>
      <c r="F23" s="76"/>
      <c r="G23" s="76"/>
      <c r="H23" s="76"/>
      <c r="I23" s="76"/>
      <c r="J23" s="76"/>
      <c r="K23" s="81"/>
    </row>
    <row r="24" spans="2:11" ht="15" customHeight="1">
      <c r="B24" s="81"/>
      <c r="C24" s="76"/>
      <c r="D24" s="16"/>
      <c r="E24" s="76"/>
      <c r="F24" s="76" t="s">
        <v>44</v>
      </c>
      <c r="G24" s="76"/>
      <c r="H24" s="76"/>
      <c r="I24" s="76"/>
      <c r="J24" s="76"/>
      <c r="K24" s="81"/>
    </row>
    <row r="25" spans="2:11" ht="15" customHeight="1">
      <c r="B25" s="81"/>
      <c r="C25" s="76"/>
      <c r="D25" s="16"/>
      <c r="E25" s="16"/>
      <c r="F25" s="16" t="s">
        <v>137</v>
      </c>
      <c r="G25" s="16"/>
      <c r="H25" s="16"/>
      <c r="I25" s="16"/>
      <c r="J25" s="16"/>
      <c r="K25" s="81"/>
    </row>
    <row r="26" spans="2:11" ht="15" customHeight="1">
      <c r="B26" s="81"/>
      <c r="C26" s="76"/>
      <c r="D26" s="16"/>
      <c r="E26" s="16"/>
      <c r="F26" s="16"/>
      <c r="G26" s="16"/>
      <c r="H26" s="16"/>
      <c r="I26" s="16"/>
      <c r="J26" s="16"/>
      <c r="K26" s="81"/>
    </row>
    <row r="27" spans="2:11" ht="15" customHeight="1">
      <c r="B27" s="81"/>
      <c r="C27" s="76"/>
      <c r="D27" s="16"/>
      <c r="E27" s="16"/>
      <c r="F27" s="16"/>
      <c r="G27" s="16"/>
      <c r="H27" s="16"/>
      <c r="I27" s="16"/>
      <c r="J27" s="16"/>
      <c r="K27" s="81"/>
    </row>
    <row r="28" spans="2:11" ht="15" customHeight="1">
      <c r="B28" s="81"/>
      <c r="C28" s="76"/>
      <c r="D28" s="16"/>
      <c r="E28" s="16"/>
      <c r="F28" s="16"/>
      <c r="G28" s="16" t="s">
        <v>136</v>
      </c>
      <c r="H28" s="16"/>
      <c r="I28" s="16"/>
      <c r="J28" s="16"/>
      <c r="K28" s="81"/>
    </row>
    <row r="29" spans="2:11" ht="15" customHeight="1">
      <c r="B29" s="81"/>
      <c r="C29" s="76"/>
      <c r="D29" s="16"/>
      <c r="E29" s="16"/>
      <c r="F29" s="16"/>
      <c r="G29" s="16" t="s">
        <v>45</v>
      </c>
      <c r="H29" s="16"/>
      <c r="I29" s="16"/>
      <c r="J29" s="16"/>
      <c r="K29" s="81"/>
    </row>
    <row r="30" spans="2:11" ht="15" customHeight="1">
      <c r="B30" s="81"/>
      <c r="C30" s="76"/>
      <c r="D30" s="16"/>
      <c r="E30" s="16"/>
      <c r="F30" s="16"/>
      <c r="G30" s="16" t="s">
        <v>46</v>
      </c>
      <c r="H30" s="16"/>
      <c r="I30" s="16"/>
      <c r="J30" s="16"/>
      <c r="K30" s="81"/>
    </row>
    <row r="31" spans="2:11" ht="15" customHeight="1">
      <c r="B31" s="81"/>
      <c r="C31" s="76"/>
      <c r="D31" s="16"/>
      <c r="E31" s="16"/>
      <c r="F31" s="16"/>
      <c r="G31" s="16"/>
      <c r="H31" s="16"/>
      <c r="I31" s="16"/>
      <c r="J31" s="16"/>
      <c r="K31" s="81"/>
    </row>
    <row r="32" spans="2:11" ht="15" customHeight="1">
      <c r="B32" s="82"/>
      <c r="C32" s="79"/>
      <c r="D32" s="79"/>
      <c r="E32" s="79"/>
      <c r="F32" s="79"/>
      <c r="G32" s="79"/>
      <c r="H32" s="79"/>
      <c r="I32" s="79"/>
      <c r="J32" s="79"/>
      <c r="K32" s="86"/>
    </row>
  </sheetData>
  <sheetProtection password="83CD" sheet="1" objects="1" scenarios="1"/>
  <mergeCells count="1">
    <mergeCell ref="D4:G4"/>
  </mergeCells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8"/>
  <sheetViews>
    <sheetView workbookViewId="0" topLeftCell="A1">
      <selection activeCell="N29" sqref="N29"/>
    </sheetView>
  </sheetViews>
  <sheetFormatPr defaultColWidth="8.796875" defaultRowHeight="15"/>
  <cols>
    <col min="1" max="1" width="4.59765625" style="1" customWidth="1"/>
    <col min="2" max="2" width="7.59765625" style="1" customWidth="1"/>
    <col min="3" max="14" width="9.59765625" style="1" customWidth="1"/>
    <col min="15" max="16" width="8.59765625" style="1" customWidth="1"/>
    <col min="17" max="22" width="9.59765625" style="1" customWidth="1"/>
    <col min="23" max="23" width="10.59765625" style="1" customWidth="1"/>
    <col min="24" max="24" width="9.59765625" style="1" customWidth="1"/>
    <col min="25" max="25" width="10.59765625" style="1" customWidth="1"/>
    <col min="26" max="26" width="9.59765625" style="1" customWidth="1"/>
    <col min="27" max="32" width="10.59765625" style="1" customWidth="1"/>
    <col min="33" max="33" width="6.59765625" style="1" customWidth="1"/>
    <col min="34" max="41" width="10.59765625" style="1" customWidth="1"/>
    <col min="42" max="47" width="9.59765625" style="1" customWidth="1"/>
    <col min="48" max="16384" width="9" style="1" customWidth="1"/>
  </cols>
  <sheetData>
    <row r="1" spans="1:34" ht="15" customHeight="1" thickBot="1">
      <c r="A1" s="1" t="s">
        <v>60</v>
      </c>
      <c r="G1" s="1" t="s">
        <v>43</v>
      </c>
      <c r="O1" s="1" t="s">
        <v>52</v>
      </c>
      <c r="T1" s="1" t="s">
        <v>47</v>
      </c>
      <c r="X1" s="1" t="s">
        <v>48</v>
      </c>
      <c r="AB1" s="1" t="s">
        <v>49</v>
      </c>
      <c r="AH1" s="1" t="s">
        <v>73</v>
      </c>
    </row>
    <row r="2" spans="1:47" ht="14.25" customHeight="1" thickTop="1">
      <c r="A2" s="28"/>
      <c r="B2" s="258" t="s">
        <v>61</v>
      </c>
      <c r="C2" s="275"/>
      <c r="D2" s="275"/>
      <c r="E2" s="275"/>
      <c r="F2" s="276"/>
      <c r="G2" s="257" t="s">
        <v>62</v>
      </c>
      <c r="H2" s="258"/>
      <c r="I2" s="258"/>
      <c r="J2" s="258"/>
      <c r="K2" s="258"/>
      <c r="L2" s="277"/>
      <c r="M2" s="2"/>
      <c r="N2" s="2"/>
      <c r="O2" s="267" t="s">
        <v>26</v>
      </c>
      <c r="P2" s="270"/>
      <c r="Q2" s="278" t="s">
        <v>28</v>
      </c>
      <c r="R2" s="270"/>
      <c r="S2" s="271"/>
      <c r="T2" s="267" t="s">
        <v>29</v>
      </c>
      <c r="U2" s="268"/>
      <c r="V2" s="268"/>
      <c r="W2" s="269"/>
      <c r="X2" s="267" t="s">
        <v>32</v>
      </c>
      <c r="Y2" s="270"/>
      <c r="Z2" s="270"/>
      <c r="AA2" s="271"/>
      <c r="AB2" s="258" t="s">
        <v>33</v>
      </c>
      <c r="AC2" s="259"/>
      <c r="AD2" s="259"/>
      <c r="AE2" s="259"/>
      <c r="AF2" s="260"/>
      <c r="AH2" s="257" t="s">
        <v>53</v>
      </c>
      <c r="AI2" s="258"/>
      <c r="AJ2" s="258"/>
      <c r="AK2" s="258"/>
      <c r="AL2" s="258"/>
      <c r="AM2" s="258"/>
      <c r="AN2" s="259"/>
      <c r="AO2" s="260"/>
      <c r="AP2" s="257" t="s">
        <v>55</v>
      </c>
      <c r="AQ2" s="258"/>
      <c r="AR2" s="259"/>
      <c r="AS2" s="259"/>
      <c r="AT2" s="259"/>
      <c r="AU2" s="260"/>
    </row>
    <row r="3" spans="1:47" ht="39.75" customHeight="1">
      <c r="A3" s="29" t="s">
        <v>19</v>
      </c>
      <c r="B3" s="30" t="s">
        <v>25</v>
      </c>
      <c r="C3" s="31" t="s">
        <v>17</v>
      </c>
      <c r="D3" s="31" t="s">
        <v>1</v>
      </c>
      <c r="E3" s="162" t="s">
        <v>66</v>
      </c>
      <c r="F3" s="163" t="s">
        <v>67</v>
      </c>
      <c r="G3" s="32" t="s">
        <v>25</v>
      </c>
      <c r="H3" s="33" t="s">
        <v>17</v>
      </c>
      <c r="I3" s="33" t="s">
        <v>1</v>
      </c>
      <c r="J3" s="33" t="s">
        <v>13</v>
      </c>
      <c r="K3" s="33" t="s">
        <v>4</v>
      </c>
      <c r="L3" s="34" t="s">
        <v>5</v>
      </c>
      <c r="M3" s="4"/>
      <c r="N3" s="4"/>
      <c r="O3" s="29" t="s">
        <v>30</v>
      </c>
      <c r="P3" s="60" t="s">
        <v>31</v>
      </c>
      <c r="Q3" s="66" t="s">
        <v>27</v>
      </c>
      <c r="R3" s="60" t="s">
        <v>51</v>
      </c>
      <c r="S3" s="59" t="s">
        <v>50</v>
      </c>
      <c r="T3" s="29" t="s">
        <v>3</v>
      </c>
      <c r="U3" s="60" t="s">
        <v>4</v>
      </c>
      <c r="V3" s="249" t="s">
        <v>5</v>
      </c>
      <c r="W3" s="266"/>
      <c r="X3" s="247" t="s">
        <v>6</v>
      </c>
      <c r="Y3" s="249"/>
      <c r="Z3" s="249" t="s">
        <v>7</v>
      </c>
      <c r="AA3" s="266"/>
      <c r="AB3" s="61" t="s">
        <v>8</v>
      </c>
      <c r="AC3" s="272" t="s">
        <v>9</v>
      </c>
      <c r="AD3" s="273"/>
      <c r="AE3" s="272" t="s">
        <v>10</v>
      </c>
      <c r="AF3" s="274"/>
      <c r="AH3" s="62" t="s">
        <v>3</v>
      </c>
      <c r="AI3" s="37" t="s">
        <v>54</v>
      </c>
      <c r="AJ3" s="264" t="s">
        <v>8</v>
      </c>
      <c r="AK3" s="265"/>
      <c r="AL3" s="264" t="s">
        <v>9</v>
      </c>
      <c r="AM3" s="264"/>
      <c r="AN3" s="249" t="s">
        <v>10</v>
      </c>
      <c r="AO3" s="266"/>
      <c r="AP3" s="247" t="s">
        <v>8</v>
      </c>
      <c r="AQ3" s="248"/>
      <c r="AR3" s="249" t="s">
        <v>9</v>
      </c>
      <c r="AS3" s="248"/>
      <c r="AT3" s="249" t="s">
        <v>10</v>
      </c>
      <c r="AU3" s="250"/>
    </row>
    <row r="4" spans="1:47" ht="14.25" customHeight="1">
      <c r="A4" s="35"/>
      <c r="B4" s="36" t="s">
        <v>14</v>
      </c>
      <c r="C4" s="37" t="s">
        <v>18</v>
      </c>
      <c r="D4" s="37" t="s">
        <v>18</v>
      </c>
      <c r="E4" s="37" t="s">
        <v>18</v>
      </c>
      <c r="F4" s="38" t="s">
        <v>18</v>
      </c>
      <c r="G4" s="39" t="s">
        <v>14</v>
      </c>
      <c r="H4" s="40" t="s">
        <v>18</v>
      </c>
      <c r="I4" s="40" t="s">
        <v>18</v>
      </c>
      <c r="J4" s="175" t="s">
        <v>75</v>
      </c>
      <c r="K4" s="175" t="s">
        <v>94</v>
      </c>
      <c r="L4" s="176" t="s">
        <v>95</v>
      </c>
      <c r="M4" s="4"/>
      <c r="N4" s="4"/>
      <c r="O4" s="178" t="s">
        <v>76</v>
      </c>
      <c r="P4" s="179" t="s">
        <v>77</v>
      </c>
      <c r="Q4" s="177"/>
      <c r="R4" s="179" t="s">
        <v>78</v>
      </c>
      <c r="S4" s="180" t="s">
        <v>79</v>
      </c>
      <c r="T4" s="181" t="s">
        <v>80</v>
      </c>
      <c r="U4" s="175" t="s">
        <v>81</v>
      </c>
      <c r="V4" s="175" t="s">
        <v>82</v>
      </c>
      <c r="W4" s="182" t="s">
        <v>83</v>
      </c>
      <c r="X4" s="181" t="s">
        <v>84</v>
      </c>
      <c r="Y4" s="184" t="s">
        <v>83</v>
      </c>
      <c r="Z4" s="183" t="s">
        <v>85</v>
      </c>
      <c r="AA4" s="182" t="s">
        <v>83</v>
      </c>
      <c r="AB4" s="194" t="s">
        <v>96</v>
      </c>
      <c r="AC4" s="195" t="s">
        <v>92</v>
      </c>
      <c r="AD4" s="195" t="s">
        <v>98</v>
      </c>
      <c r="AE4" s="196" t="s">
        <v>93</v>
      </c>
      <c r="AF4" s="197" t="s">
        <v>97</v>
      </c>
      <c r="AH4" s="185" t="s">
        <v>86</v>
      </c>
      <c r="AI4" s="186" t="s">
        <v>87</v>
      </c>
      <c r="AJ4" s="187"/>
      <c r="AK4" s="188" t="s">
        <v>88</v>
      </c>
      <c r="AL4" s="187"/>
      <c r="AM4" s="188" t="s">
        <v>90</v>
      </c>
      <c r="AN4" s="187"/>
      <c r="AO4" s="189" t="s">
        <v>89</v>
      </c>
      <c r="AP4" s="63" t="s">
        <v>56</v>
      </c>
      <c r="AQ4" s="64" t="s">
        <v>57</v>
      </c>
      <c r="AR4" s="64" t="s">
        <v>56</v>
      </c>
      <c r="AS4" s="64" t="s">
        <v>57</v>
      </c>
      <c r="AT4" s="64" t="s">
        <v>56</v>
      </c>
      <c r="AU4" s="65" t="s">
        <v>57</v>
      </c>
    </row>
    <row r="5" spans="1:47" ht="14.25" customHeight="1">
      <c r="A5" s="41" t="s">
        <v>2</v>
      </c>
      <c r="B5" s="42" t="s">
        <v>20</v>
      </c>
      <c r="C5" s="152">
        <v>168386</v>
      </c>
      <c r="D5" s="152">
        <v>2504</v>
      </c>
      <c r="E5" s="152">
        <v>168386</v>
      </c>
      <c r="F5" s="153">
        <v>2900</v>
      </c>
      <c r="G5" s="168" t="s">
        <v>20</v>
      </c>
      <c r="H5" s="67">
        <v>3543105</v>
      </c>
      <c r="I5" s="67">
        <v>55261</v>
      </c>
      <c r="J5" s="164">
        <v>65</v>
      </c>
      <c r="K5" s="67">
        <v>85606</v>
      </c>
      <c r="L5" s="68">
        <v>1549936</v>
      </c>
      <c r="M5" s="5"/>
      <c r="N5" s="5"/>
      <c r="O5" s="87">
        <f>((L5-L6)-5*K6)/5/(K5-K6)</f>
        <v>0.5348466257668711</v>
      </c>
      <c r="P5" s="88">
        <f>(I5/H5)/((K5-K6)/(L5-L6))</f>
        <v>0.9876344737241882</v>
      </c>
      <c r="Q5" s="89">
        <f>D5/C5</f>
        <v>0.014870594942572422</v>
      </c>
      <c r="R5" s="90">
        <f aca="true" t="shared" si="0" ref="R5:R14">Q5/P5</f>
        <v>0.015056779950681692</v>
      </c>
      <c r="S5" s="91">
        <f aca="true" t="shared" si="1" ref="S5:S14">F5/E5</f>
        <v>0.017222334398346657</v>
      </c>
      <c r="T5" s="92">
        <f>5*R5/(1+5*(1-O5)*R5)</f>
        <v>0.07273676305255752</v>
      </c>
      <c r="U5" s="93">
        <v>100000</v>
      </c>
      <c r="V5" s="93">
        <f>5*U5*((1-T5)+O5*T5)</f>
        <v>483083.12461765367</v>
      </c>
      <c r="W5" s="94">
        <f>SUM(V5:V$9)</f>
        <v>1824630.9708881578</v>
      </c>
      <c r="X5" s="95">
        <f aca="true" t="shared" si="2" ref="X5:X14">V5*(1-S5)</f>
        <v>474763.30550329026</v>
      </c>
      <c r="Y5" s="93">
        <f>SUM(X5:X$9)</f>
        <v>1684784.2571301914</v>
      </c>
      <c r="Z5" s="93">
        <f aca="true" t="shared" si="3" ref="Z5:Z14">V5*S5</f>
        <v>8319.819114363401</v>
      </c>
      <c r="AA5" s="94">
        <f>SUM(Z5:Z$9)</f>
        <v>139846.7137579664</v>
      </c>
      <c r="AB5" s="96">
        <f aca="true" t="shared" si="4" ref="AB5:AB14">W5/U5</f>
        <v>18.24630970888158</v>
      </c>
      <c r="AC5" s="88">
        <f aca="true" t="shared" si="5" ref="AC5:AC14">Y5/U5</f>
        <v>16.847842571301914</v>
      </c>
      <c r="AD5" s="190">
        <f>AC5/AB5*100</f>
        <v>92.33561657183235</v>
      </c>
      <c r="AE5" s="88">
        <f aca="true" t="shared" si="6" ref="AE5:AE14">AA5/U5</f>
        <v>1.3984671375796642</v>
      </c>
      <c r="AF5" s="97">
        <f>AE5/AB5*100</f>
        <v>7.664383428167647</v>
      </c>
      <c r="AH5" s="136">
        <f>IF(D5=0,0,T5*T5*(1-T5)/D5)</f>
        <v>1.9591904598103437E-06</v>
      </c>
      <c r="AI5" s="137">
        <f aca="true" t="shared" si="7" ref="AI5:AI14">S5*(1-S5)/E5</f>
        <v>1.0051741591473271E-07</v>
      </c>
      <c r="AJ5" s="137">
        <f>U5*U5*((1-O5)*5+AB6)^2*AH5</f>
        <v>5525398.882665639</v>
      </c>
      <c r="AK5" s="137">
        <f>SUM(AJ5:AJ$9)/U5/U5</f>
        <v>0.002079423448813506</v>
      </c>
      <c r="AL5" s="137">
        <f>U5*U5*((1-O5)*5*(1-S5)+AC6)^2*AH5+V5*V5*AI5</f>
        <v>4630788.146739302</v>
      </c>
      <c r="AM5" s="137">
        <f>SUM(AL5:AL$9)/U5/U5</f>
        <v>0.0016186191620916396</v>
      </c>
      <c r="AN5" s="137">
        <f>U5*U5*((1-O5)*5*S5+AE6)^2*AH5+V5*V5*AI5</f>
        <v>65133.84043878014</v>
      </c>
      <c r="AO5" s="138">
        <f>SUM(AN5:AN$9)/U5/U5</f>
        <v>9.938084154340349E-05</v>
      </c>
      <c r="AP5" s="87">
        <f aca="true" t="shared" si="8" ref="AP5:AP14">AB5-1.96*SQRT(AK5)</f>
        <v>18.156932345299058</v>
      </c>
      <c r="AQ5" s="88">
        <f aca="true" t="shared" si="9" ref="AQ5:AQ14">AB5+1.96*SQRT(AK5)</f>
        <v>18.3356870724641</v>
      </c>
      <c r="AR5" s="88">
        <f aca="true" t="shared" si="10" ref="AR5:AR14">AC5-1.96*SQRT(AM5)</f>
        <v>16.768987721272946</v>
      </c>
      <c r="AS5" s="88">
        <f aca="true" t="shared" si="11" ref="AS5:AS14">AC5+1.96*SQRT(AM5)</f>
        <v>16.926697421330882</v>
      </c>
      <c r="AT5" s="88">
        <f aca="true" t="shared" si="12" ref="AT5:AT14">AE5-1.96*SQRT(AO5)</f>
        <v>1.378927909322818</v>
      </c>
      <c r="AU5" s="139">
        <f aca="true" t="shared" si="13" ref="AU5:AU14">AE5+1.96*SQRT(AO5)</f>
        <v>1.4180063658365105</v>
      </c>
    </row>
    <row r="6" spans="1:47" ht="14.25" customHeight="1">
      <c r="A6" s="41"/>
      <c r="B6" s="43" t="s">
        <v>21</v>
      </c>
      <c r="C6" s="154">
        <v>143732</v>
      </c>
      <c r="D6" s="154">
        <v>3737</v>
      </c>
      <c r="E6" s="154">
        <v>143732</v>
      </c>
      <c r="F6" s="155">
        <v>5000</v>
      </c>
      <c r="G6" s="169" t="s">
        <v>21</v>
      </c>
      <c r="H6" s="69">
        <v>3040918</v>
      </c>
      <c r="I6" s="69">
        <v>80198</v>
      </c>
      <c r="J6" s="165">
        <v>70</v>
      </c>
      <c r="K6" s="69">
        <v>79086</v>
      </c>
      <c r="L6" s="70">
        <v>1137070</v>
      </c>
      <c r="M6" s="5"/>
      <c r="N6" s="5"/>
      <c r="O6" s="98">
        <f>((L6-L7)-5*K7)/5/(K6-K7)</f>
        <v>0.5319843734348393</v>
      </c>
      <c r="P6" s="99">
        <f>(I6/H6)/((K6-K7)/(L6-L7))</f>
        <v>0.9829269538518666</v>
      </c>
      <c r="Q6" s="100">
        <f aca="true" t="shared" si="14" ref="Q6:Q14">D6/C6</f>
        <v>0.025999777363426377</v>
      </c>
      <c r="R6" s="101">
        <f t="shared" si="0"/>
        <v>0.0264513830468675</v>
      </c>
      <c r="S6" s="102">
        <f t="shared" si="1"/>
        <v>0.034786964628614366</v>
      </c>
      <c r="T6" s="103">
        <f>5*R6/(1+5*(1-O6)*R6)</f>
        <v>0.12454762838809134</v>
      </c>
      <c r="U6" s="104">
        <f>U5*(1-T5)</f>
        <v>92726.32369474425</v>
      </c>
      <c r="V6" s="104">
        <f>5*U6*((1-T6)+O6*T6)</f>
        <v>436606.421859463</v>
      </c>
      <c r="W6" s="105">
        <f>SUM(V6:V$9)</f>
        <v>1341547.846270504</v>
      </c>
      <c r="X6" s="106">
        <f t="shared" si="2"/>
        <v>421418.2097056119</v>
      </c>
      <c r="Y6" s="104">
        <f>SUM(X6:X$9)</f>
        <v>1210020.951626901</v>
      </c>
      <c r="Z6" s="104">
        <f t="shared" si="3"/>
        <v>15188.21215385102</v>
      </c>
      <c r="AA6" s="105">
        <f>SUM(Z6:Z$9)</f>
        <v>131526.894643603</v>
      </c>
      <c r="AB6" s="107">
        <f t="shared" si="4"/>
        <v>14.467820925230352</v>
      </c>
      <c r="AC6" s="99">
        <f t="shared" si="5"/>
        <v>13.049379112778148</v>
      </c>
      <c r="AD6" s="191">
        <f aca="true" t="shared" si="15" ref="AD6:AD14">AC6/AB6*100</f>
        <v>90.19588492432476</v>
      </c>
      <c r="AE6" s="99">
        <f t="shared" si="6"/>
        <v>1.4184418124522065</v>
      </c>
      <c r="AF6" s="108">
        <f aca="true" t="shared" si="16" ref="AF6:AF14">AE6/AB6*100</f>
        <v>9.804115075675243</v>
      </c>
      <c r="AH6" s="140">
        <f>IF(D6=0,0,T6*T6*(1-T6)/D6)</f>
        <v>3.633961736406597E-06</v>
      </c>
      <c r="AI6" s="141">
        <f t="shared" si="7"/>
        <v>2.3360721148068557E-07</v>
      </c>
      <c r="AJ6" s="141">
        <f>U6*U6*((1-O6)*5+AB7)^2*AH6</f>
        <v>5684164.659508739</v>
      </c>
      <c r="AK6" s="141">
        <f>SUM(AJ6:AJ$9)/U6/U6</f>
        <v>0.0017758236510223213</v>
      </c>
      <c r="AL6" s="141">
        <f>U6*U6*((1-O6)*5*(1-S6)+AC7)^2*AH6+V6*V6*AI6</f>
        <v>4523816.360215802</v>
      </c>
      <c r="AM6" s="141">
        <f>SUM(AL6:AL$9)/U6/U6</f>
        <v>0.0013439373713080402</v>
      </c>
      <c r="AN6" s="141">
        <f>U6*U6*((1-O6)*5*S6+AE7)^2*AH6+V6*V6*AI6</f>
        <v>116203.53663646514</v>
      </c>
      <c r="AO6" s="142">
        <f>SUM(AN6:AN$9)/U6/U6</f>
        <v>0.00010800838498706032</v>
      </c>
      <c r="AP6" s="98">
        <f t="shared" si="8"/>
        <v>14.385225500794325</v>
      </c>
      <c r="AQ6" s="99">
        <f t="shared" si="9"/>
        <v>14.55041634966638</v>
      </c>
      <c r="AR6" s="99">
        <f t="shared" si="10"/>
        <v>12.97752600007162</v>
      </c>
      <c r="AS6" s="99">
        <f t="shared" si="11"/>
        <v>13.121232225484675</v>
      </c>
      <c r="AT6" s="99">
        <f t="shared" si="12"/>
        <v>1.3980721042617024</v>
      </c>
      <c r="AU6" s="143">
        <f t="shared" si="13"/>
        <v>1.4388115206427106</v>
      </c>
    </row>
    <row r="7" spans="1:47" ht="14.25" customHeight="1">
      <c r="A7" s="41"/>
      <c r="B7" s="43" t="s">
        <v>22</v>
      </c>
      <c r="C7" s="154">
        <v>111487</v>
      </c>
      <c r="D7" s="154">
        <v>4741</v>
      </c>
      <c r="E7" s="154">
        <v>111487</v>
      </c>
      <c r="F7" s="155">
        <v>7000</v>
      </c>
      <c r="G7" s="169" t="s">
        <v>22</v>
      </c>
      <c r="H7" s="69">
        <v>2256826</v>
      </c>
      <c r="I7" s="69">
        <v>99338</v>
      </c>
      <c r="J7" s="165">
        <v>75</v>
      </c>
      <c r="K7" s="69">
        <v>69103</v>
      </c>
      <c r="L7" s="70">
        <v>765001</v>
      </c>
      <c r="M7" s="5"/>
      <c r="N7" s="5"/>
      <c r="O7" s="98">
        <f>((L7-L8)-5*K8)/5/(K7-K8)</f>
        <v>0.5256153791586863</v>
      </c>
      <c r="P7" s="99">
        <f aca="true" t="shared" si="17" ref="P7:P12">(I7/H7)/((K7-K8)/(L7-L8))</f>
        <v>0.9744370532809868</v>
      </c>
      <c r="Q7" s="100">
        <f t="shared" si="14"/>
        <v>0.04252513745997291</v>
      </c>
      <c r="R7" s="101">
        <f t="shared" si="0"/>
        <v>0.04364072293514319</v>
      </c>
      <c r="S7" s="102">
        <f t="shared" si="1"/>
        <v>0.06278758958443585</v>
      </c>
      <c r="T7" s="103">
        <f>5*R7/(1+5*(1-O7)*R7)</f>
        <v>0.1977355279027528</v>
      </c>
      <c r="U7" s="104">
        <f>U6*(1-T6)</f>
        <v>81177.47998941738</v>
      </c>
      <c r="V7" s="104">
        <f>5*U7*((1-T7)+O7*T7)</f>
        <v>367814.0686023428</v>
      </c>
      <c r="W7" s="105">
        <f>SUM(V7:V$9)</f>
        <v>904941.4244110411</v>
      </c>
      <c r="X7" s="106">
        <f t="shared" si="2"/>
        <v>344719.9098195574</v>
      </c>
      <c r="Y7" s="104">
        <f>SUM(X7:X$9)</f>
        <v>788602.7419212891</v>
      </c>
      <c r="Z7" s="104">
        <f t="shared" si="3"/>
        <v>23094.15878278543</v>
      </c>
      <c r="AA7" s="105">
        <f>SUM(Z7:Z$9)</f>
        <v>116338.68248975198</v>
      </c>
      <c r="AB7" s="107">
        <f t="shared" si="4"/>
        <v>11.14769052364046</v>
      </c>
      <c r="AC7" s="99">
        <f t="shared" si="5"/>
        <v>9.714550661391492</v>
      </c>
      <c r="AD7" s="191">
        <f t="shared" si="15"/>
        <v>87.14406486967175</v>
      </c>
      <c r="AE7" s="99">
        <f t="shared" si="6"/>
        <v>1.4331398622489682</v>
      </c>
      <c r="AF7" s="108">
        <f t="shared" si="16"/>
        <v>12.855935130328259</v>
      </c>
      <c r="AH7" s="140">
        <f>IF(D7=0,0,T7*T7*(1-T7)/D7)</f>
        <v>6.61632789667986E-06</v>
      </c>
      <c r="AI7" s="141">
        <f t="shared" si="7"/>
        <v>5.27822151269765E-07</v>
      </c>
      <c r="AJ7" s="141">
        <f>U7*U7*((1-O7)*5+AB8)^2*AH7</f>
        <v>4916916.461280611</v>
      </c>
      <c r="AK7" s="141">
        <f>SUM(AJ7:AJ$9)/U7/U7</f>
        <v>0.0014544743842903561</v>
      </c>
      <c r="AL7" s="141">
        <f>U7*U7*((1-O7)*5*(1-S7)+AC8)^2*AH7+V7*V7*AI7</f>
        <v>3633513.7650426645</v>
      </c>
      <c r="AM7" s="141">
        <f>SUM(AL7:AL$9)/U7/U7</f>
        <v>0.0010670437614212498</v>
      </c>
      <c r="AN7" s="141">
        <f>U7*U7*((1-O7)*5*S7+AE8)^2*AH7+V7*V7*AI7</f>
        <v>180345.74363966752</v>
      </c>
      <c r="AO7" s="142">
        <f>SUM(AN7:AN$9)/U7/U7</f>
        <v>0.00012329252823944513</v>
      </c>
      <c r="AP7" s="98">
        <f t="shared" si="8"/>
        <v>11.072940882874168</v>
      </c>
      <c r="AQ7" s="99">
        <f t="shared" si="9"/>
        <v>11.222440164406752</v>
      </c>
      <c r="AR7" s="99">
        <f t="shared" si="10"/>
        <v>9.650526015247403</v>
      </c>
      <c r="AS7" s="99">
        <f t="shared" si="11"/>
        <v>9.778575307535581</v>
      </c>
      <c r="AT7" s="99">
        <f t="shared" si="12"/>
        <v>1.411376577191683</v>
      </c>
      <c r="AU7" s="143">
        <f t="shared" si="13"/>
        <v>1.4549031473062533</v>
      </c>
    </row>
    <row r="8" spans="1:47" ht="14.25" customHeight="1">
      <c r="A8" s="41"/>
      <c r="B8" s="43" t="s">
        <v>23</v>
      </c>
      <c r="C8" s="154">
        <v>60021</v>
      </c>
      <c r="D8" s="154">
        <v>4309</v>
      </c>
      <c r="E8" s="154">
        <v>60021</v>
      </c>
      <c r="F8" s="155">
        <v>6400</v>
      </c>
      <c r="G8" s="169" t="s">
        <v>23</v>
      </c>
      <c r="H8" s="69">
        <v>1221288</v>
      </c>
      <c r="I8" s="69">
        <v>89502</v>
      </c>
      <c r="J8" s="165">
        <v>80</v>
      </c>
      <c r="K8" s="69">
        <v>55006</v>
      </c>
      <c r="L8" s="70">
        <v>452923</v>
      </c>
      <c r="M8" s="5"/>
      <c r="N8" s="5"/>
      <c r="O8" s="98">
        <f>((L8-L9)-5*K9)/5/(K8-K9)</f>
        <v>0.5117145599277367</v>
      </c>
      <c r="P8" s="99">
        <f t="shared" si="17"/>
        <v>0.9589762569394874</v>
      </c>
      <c r="Q8" s="100">
        <f t="shared" si="14"/>
        <v>0.07179153962779694</v>
      </c>
      <c r="R8" s="101">
        <f t="shared" si="0"/>
        <v>0.07486268727540256</v>
      </c>
      <c r="S8" s="102">
        <f t="shared" si="1"/>
        <v>0.10662934639542827</v>
      </c>
      <c r="T8" s="103">
        <f>5*R8/(1+5*(1-O8)*R8)</f>
        <v>0.316471390388699</v>
      </c>
      <c r="U8" s="104">
        <f>U7*(1-T7)</f>
        <v>65125.80812989478</v>
      </c>
      <c r="V8" s="104">
        <f>5*U8*((1-T8)+O8*T8)</f>
        <v>275310.1150808857</v>
      </c>
      <c r="W8" s="105">
        <f>SUM(V8:V$9)</f>
        <v>537127.3558086983</v>
      </c>
      <c r="X8" s="106">
        <f t="shared" si="2"/>
        <v>245953.97745376072</v>
      </c>
      <c r="Y8" s="104">
        <f>SUM(X8:X$9)</f>
        <v>443882.8321017318</v>
      </c>
      <c r="Z8" s="104">
        <f t="shared" si="3"/>
        <v>29356.137627124983</v>
      </c>
      <c r="AA8" s="105">
        <f>SUM(Z8:Z$9)</f>
        <v>93244.52370696656</v>
      </c>
      <c r="AB8" s="107">
        <f t="shared" si="4"/>
        <v>8.24753459853253</v>
      </c>
      <c r="AC8" s="99">
        <f t="shared" si="5"/>
        <v>6.815774649834644</v>
      </c>
      <c r="AD8" s="191">
        <f t="shared" si="15"/>
        <v>82.64014619650536</v>
      </c>
      <c r="AE8" s="99">
        <f t="shared" si="6"/>
        <v>1.4317599486978867</v>
      </c>
      <c r="AF8" s="108">
        <f t="shared" si="16"/>
        <v>17.35985380349465</v>
      </c>
      <c r="AH8" s="140">
        <f>IF(D8=0,0,T8*T8*(1-T8)/D8)</f>
        <v>1.5887264028733246E-05</v>
      </c>
      <c r="AI8" s="141">
        <f t="shared" si="7"/>
        <v>1.5871033285468758E-06</v>
      </c>
      <c r="AJ8" s="141">
        <f>U8*U8*((1-O8)*5+AB9)^2*AH8</f>
        <v>4667754.4846800715</v>
      </c>
      <c r="AK8" s="141">
        <f>SUM(AJ8:AJ$9)/U8/U8</f>
        <v>0.0011005296664008297</v>
      </c>
      <c r="AL8" s="141">
        <f>U8*U8*((1-O8)*5*(1-S8)+AC9)^2*AH8+V8*V8*AI8</f>
        <v>3079959.2113600653</v>
      </c>
      <c r="AM8" s="141">
        <f>SUM(AL8:AL$9)/U8/U8</f>
        <v>0.0008011733567746304</v>
      </c>
      <c r="AN8" s="141">
        <f>U8*U8*((1-O8)*5*S8+AE9)^2*AH8+V8*V8*AI8</f>
        <v>314011.1571605594</v>
      </c>
      <c r="AO8" s="142">
        <f>SUM(AN8:AN$9)/U8/U8</f>
        <v>0.00014903796718615184</v>
      </c>
      <c r="AP8" s="98">
        <f t="shared" si="8"/>
        <v>8.182513103883103</v>
      </c>
      <c r="AQ8" s="99">
        <f t="shared" si="9"/>
        <v>8.312556093181957</v>
      </c>
      <c r="AR8" s="99">
        <f t="shared" si="10"/>
        <v>6.760296838347659</v>
      </c>
      <c r="AS8" s="99">
        <f t="shared" si="11"/>
        <v>6.871252461321629</v>
      </c>
      <c r="AT8" s="99">
        <f t="shared" si="12"/>
        <v>1.4078320516999823</v>
      </c>
      <c r="AU8" s="143">
        <f t="shared" si="13"/>
        <v>1.4556878456957911</v>
      </c>
    </row>
    <row r="9" spans="1:47" ht="14.25" customHeight="1">
      <c r="A9" s="39"/>
      <c r="B9" s="44" t="s">
        <v>24</v>
      </c>
      <c r="C9" s="156">
        <v>39751</v>
      </c>
      <c r="D9" s="156">
        <v>6292</v>
      </c>
      <c r="E9" s="156">
        <v>39751</v>
      </c>
      <c r="F9" s="157">
        <v>9700</v>
      </c>
      <c r="G9" s="170" t="s">
        <v>24</v>
      </c>
      <c r="H9" s="71">
        <v>810592</v>
      </c>
      <c r="I9" s="71">
        <v>127261</v>
      </c>
      <c r="J9" s="166">
        <v>85</v>
      </c>
      <c r="K9" s="71">
        <v>37293</v>
      </c>
      <c r="L9" s="72">
        <v>221138</v>
      </c>
      <c r="M9" s="5"/>
      <c r="N9" s="5"/>
      <c r="O9" s="109">
        <v>1</v>
      </c>
      <c r="P9" s="110">
        <f>(I9/H9)/(K9/L9)</f>
        <v>0.9309558270026316</v>
      </c>
      <c r="Q9" s="111">
        <f t="shared" si="14"/>
        <v>0.15828532615531685</v>
      </c>
      <c r="R9" s="112">
        <f t="shared" si="0"/>
        <v>0.17002452916046834</v>
      </c>
      <c r="S9" s="113">
        <f t="shared" si="1"/>
        <v>0.24401901838947448</v>
      </c>
      <c r="T9" s="109">
        <v>1</v>
      </c>
      <c r="U9" s="114">
        <f>U8*(1-T8)</f>
        <v>44515.35308083934</v>
      </c>
      <c r="V9" s="114">
        <f>U9/R9</f>
        <v>261817.24072781263</v>
      </c>
      <c r="W9" s="115">
        <f>SUM(V9:V$9)</f>
        <v>261817.24072781263</v>
      </c>
      <c r="X9" s="109">
        <f t="shared" si="2"/>
        <v>197928.85464797105</v>
      </c>
      <c r="Y9" s="114">
        <f>SUM(X9:X$9)</f>
        <v>197928.85464797105</v>
      </c>
      <c r="Z9" s="114">
        <f t="shared" si="3"/>
        <v>63888.38607984158</v>
      </c>
      <c r="AA9" s="115">
        <f>SUM(Z9:Z$9)</f>
        <v>63888.38607984158</v>
      </c>
      <c r="AB9" s="116">
        <f t="shared" si="4"/>
        <v>5.881504303747871</v>
      </c>
      <c r="AC9" s="110">
        <f t="shared" si="5"/>
        <v>4.4463053968938455</v>
      </c>
      <c r="AD9" s="192">
        <f t="shared" si="15"/>
        <v>75.59809816105255</v>
      </c>
      <c r="AE9" s="110">
        <f t="shared" si="6"/>
        <v>1.435198906854025</v>
      </c>
      <c r="AF9" s="117">
        <f t="shared" si="16"/>
        <v>24.40190183894745</v>
      </c>
      <c r="AH9" s="144">
        <f>0</f>
        <v>0</v>
      </c>
      <c r="AI9" s="145">
        <f t="shared" si="7"/>
        <v>4.640731982936576E-06</v>
      </c>
      <c r="AJ9" s="145">
        <v>0</v>
      </c>
      <c r="AK9" s="145">
        <f>(1-R9)/R9/R9/D9</f>
        <v>0.004563030605730589</v>
      </c>
      <c r="AL9" s="145">
        <f>V9*V9*AI9</f>
        <v>318114.1375585626</v>
      </c>
      <c r="AM9" s="145">
        <f>(1-S9)*(1-S9)*(1-R9)/R9/R9/D9+AI9/R9/R9</f>
        <v>0.0027683376800712437</v>
      </c>
      <c r="AN9" s="145">
        <f>V9*V9*AI9</f>
        <v>318114.1375585626</v>
      </c>
      <c r="AO9" s="146">
        <f>S9*S9*(1-R9)/R9/R9/D9+AI9/R9/R9</f>
        <v>0.00043223957292367037</v>
      </c>
      <c r="AP9" s="147">
        <f t="shared" si="8"/>
        <v>5.7491058959969665</v>
      </c>
      <c r="AQ9" s="110">
        <f t="shared" si="9"/>
        <v>6.013902711498775</v>
      </c>
      <c r="AR9" s="110">
        <f t="shared" si="10"/>
        <v>4.343180007043617</v>
      </c>
      <c r="AS9" s="110">
        <f t="shared" si="11"/>
        <v>4.549430786744074</v>
      </c>
      <c r="AT9" s="110">
        <f t="shared" si="12"/>
        <v>1.394449777497147</v>
      </c>
      <c r="AU9" s="148">
        <f t="shared" si="13"/>
        <v>1.475948036210903</v>
      </c>
    </row>
    <row r="10" spans="1:47" ht="14.25" customHeight="1">
      <c r="A10" s="41" t="s">
        <v>11</v>
      </c>
      <c r="B10" s="42" t="s">
        <v>20</v>
      </c>
      <c r="C10" s="158">
        <v>181410</v>
      </c>
      <c r="D10" s="158">
        <v>1133</v>
      </c>
      <c r="E10" s="158">
        <v>181410</v>
      </c>
      <c r="F10" s="159">
        <v>2200</v>
      </c>
      <c r="G10" s="168" t="s">
        <v>20</v>
      </c>
      <c r="H10" s="67">
        <v>3879862</v>
      </c>
      <c r="I10" s="67">
        <v>25568</v>
      </c>
      <c r="J10" s="164">
        <v>65</v>
      </c>
      <c r="K10" s="67">
        <v>93069</v>
      </c>
      <c r="L10" s="68">
        <v>2155750</v>
      </c>
      <c r="M10" s="5"/>
      <c r="N10" s="5"/>
      <c r="O10" s="118">
        <f>((L10-L11)-5*K11)/5/(K10-K11)</f>
        <v>0.5382936507936508</v>
      </c>
      <c r="P10" s="119">
        <f>(I10/H10)/((K10-K11)/(L10-L11))</f>
        <v>0.9988705129284872</v>
      </c>
      <c r="Q10" s="89">
        <f t="shared" si="14"/>
        <v>0.0062455211950829615</v>
      </c>
      <c r="R10" s="120">
        <f t="shared" si="0"/>
        <v>0.0062525834072049554</v>
      </c>
      <c r="S10" s="121">
        <f t="shared" si="1"/>
        <v>0.012127225621520313</v>
      </c>
      <c r="T10" s="122">
        <f>5*R10/(1+5*(1-O10)*R10)</f>
        <v>0.030818080015349497</v>
      </c>
      <c r="U10" s="123">
        <v>100000</v>
      </c>
      <c r="V10" s="123">
        <f>5*U10*((1-T10)+O10*T10)</f>
        <v>492885.54839328193</v>
      </c>
      <c r="W10" s="124">
        <f>SUM(V10:V$14)</f>
        <v>2338496.5915219914</v>
      </c>
      <c r="X10" s="125">
        <f t="shared" si="2"/>
        <v>486908.2141423298</v>
      </c>
      <c r="Y10" s="123">
        <f>SUM(X10:X$14)</f>
        <v>2048647.8813434243</v>
      </c>
      <c r="Z10" s="123">
        <f t="shared" si="3"/>
        <v>5977.334250952099</v>
      </c>
      <c r="AA10" s="124">
        <f>SUM(Z10:Z$14)</f>
        <v>289848.7101785668</v>
      </c>
      <c r="AB10" s="126">
        <f t="shared" si="4"/>
        <v>23.384965915219915</v>
      </c>
      <c r="AC10" s="119">
        <f t="shared" si="5"/>
        <v>20.486478813434243</v>
      </c>
      <c r="AD10" s="190">
        <f t="shared" si="15"/>
        <v>87.60533963447338</v>
      </c>
      <c r="AE10" s="119">
        <f t="shared" si="6"/>
        <v>2.898487101785668</v>
      </c>
      <c r="AF10" s="97">
        <f t="shared" si="16"/>
        <v>12.394660365526603</v>
      </c>
      <c r="AH10" s="136">
        <f>IF(D10=0,0,T10*T10*(1-T10)/D10)</f>
        <v>8.124311203397492E-07</v>
      </c>
      <c r="AI10" s="137">
        <f t="shared" si="7"/>
        <v>6.603911592660302E-08</v>
      </c>
      <c r="AJ10" s="137">
        <f>U10*U10*((1-O10)*5+AB11)^2*AH10</f>
        <v>3703767.7665881724</v>
      </c>
      <c r="AK10" s="137">
        <f>SUM(AJ10:AJ$14)/U10/U10</f>
        <v>0.001723313231192141</v>
      </c>
      <c r="AL10" s="137">
        <f>U10*U10*((1-O10)*5*(1-S10)+AC11)^2*AH10+V10*V10*AI10</f>
        <v>2764976.391560666</v>
      </c>
      <c r="AM10" s="137">
        <f>SUM(AL10:AL$14)/U10/U10</f>
        <v>0.0011669808817051186</v>
      </c>
      <c r="AN10" s="137">
        <f>U10*U10*((1-O10)*5*S10+AE11)^2*AH10+V10*V10*AI10</f>
        <v>87079.85611122323</v>
      </c>
      <c r="AO10" s="138">
        <f>SUM(AN10:AN$14)/U10/U10</f>
        <v>0.00018434851713040545</v>
      </c>
      <c r="AP10" s="118">
        <f t="shared" si="8"/>
        <v>23.303600811465618</v>
      </c>
      <c r="AQ10" s="119">
        <f t="shared" si="9"/>
        <v>23.466331018974213</v>
      </c>
      <c r="AR10" s="119">
        <f t="shared" si="10"/>
        <v>20.419523053748026</v>
      </c>
      <c r="AS10" s="119">
        <f t="shared" si="11"/>
        <v>20.55343457312046</v>
      </c>
      <c r="AT10" s="119">
        <f t="shared" si="12"/>
        <v>2.8718752010003397</v>
      </c>
      <c r="AU10" s="149">
        <f t="shared" si="13"/>
        <v>2.9250990025709966</v>
      </c>
    </row>
    <row r="11" spans="1:47" ht="14.25" customHeight="1">
      <c r="A11" s="45"/>
      <c r="B11" s="43" t="s">
        <v>21</v>
      </c>
      <c r="C11" s="154">
        <v>167777</v>
      </c>
      <c r="D11" s="154">
        <v>1888</v>
      </c>
      <c r="E11" s="154">
        <v>167777</v>
      </c>
      <c r="F11" s="155">
        <v>4800</v>
      </c>
      <c r="G11" s="169" t="s">
        <v>21</v>
      </c>
      <c r="H11" s="69">
        <v>3593932</v>
      </c>
      <c r="I11" s="69">
        <v>40627</v>
      </c>
      <c r="J11" s="165">
        <v>70</v>
      </c>
      <c r="K11" s="69">
        <v>90045</v>
      </c>
      <c r="L11" s="70">
        <v>1697386</v>
      </c>
      <c r="M11" s="5"/>
      <c r="N11" s="5"/>
      <c r="O11" s="98">
        <f>((L11-L12)-5*K12)/5/(K11-K12)</f>
        <v>0.5431017320326498</v>
      </c>
      <c r="P11" s="99">
        <f t="shared" si="17"/>
        <v>0.9874130205695403</v>
      </c>
      <c r="Q11" s="100">
        <f t="shared" si="14"/>
        <v>0.011253032298825226</v>
      </c>
      <c r="R11" s="101">
        <f t="shared" si="0"/>
        <v>0.01139647955253261</v>
      </c>
      <c r="S11" s="102">
        <f t="shared" si="1"/>
        <v>0.02860940414955566</v>
      </c>
      <c r="T11" s="103">
        <f>5*R11/(1+5*(1-O11)*R11)</f>
        <v>0.05553649626095933</v>
      </c>
      <c r="U11" s="104">
        <f>U10*(1-T10)</f>
        <v>96918.19199846506</v>
      </c>
      <c r="V11" s="104">
        <f>5*U11*((1-T11)+O11*T11)</f>
        <v>472294.6926487973</v>
      </c>
      <c r="W11" s="105">
        <f>SUM(V11:V$14)</f>
        <v>1845611.0431287093</v>
      </c>
      <c r="X11" s="106">
        <f t="shared" si="2"/>
        <v>458782.62290911766</v>
      </c>
      <c r="Y11" s="104">
        <f>SUM(X11:X$14)</f>
        <v>1561739.6672010948</v>
      </c>
      <c r="Z11" s="104">
        <f t="shared" si="3"/>
        <v>13512.069739679617</v>
      </c>
      <c r="AA11" s="105">
        <f>SUM(Z11:Z$14)</f>
        <v>283871.3759276147</v>
      </c>
      <c r="AB11" s="107">
        <f t="shared" si="4"/>
        <v>19.042978465363234</v>
      </c>
      <c r="AC11" s="99">
        <f t="shared" si="5"/>
        <v>16.113999188365263</v>
      </c>
      <c r="AD11" s="191">
        <f t="shared" si="15"/>
        <v>84.61911154116247</v>
      </c>
      <c r="AE11" s="99">
        <f t="shared" si="6"/>
        <v>2.928979276997971</v>
      </c>
      <c r="AF11" s="108">
        <f t="shared" si="16"/>
        <v>15.380888458837536</v>
      </c>
      <c r="AH11" s="140">
        <f>IF(D11=0,0,T11*T11*(1-T11)/D11)</f>
        <v>1.542908404288822E-06</v>
      </c>
      <c r="AI11" s="141">
        <f t="shared" si="7"/>
        <v>1.65641930322768E-07</v>
      </c>
      <c r="AJ11" s="141">
        <f>U11*U11*((1-O11)*5+AB12)^2*AH11</f>
        <v>4331299.048094102</v>
      </c>
      <c r="AK11" s="141">
        <f>SUM(AJ11:AJ$14)/U11/U11</f>
        <v>0.0014403458686632427</v>
      </c>
      <c r="AL11" s="141">
        <f>U11*U11*((1-O11)*5*(1-S11)+AC12)^2*AH11+V11*V11*AI11</f>
        <v>2987573.1606771126</v>
      </c>
      <c r="AM11" s="141">
        <f>SUM(AL11:AL$14)/U11/U11</f>
        <v>0.0009480148570331719</v>
      </c>
      <c r="AN11" s="141">
        <f>U11*U11*((1-O11)*5*S11+AE12)^2*AH11+V11*V11*AI11</f>
        <v>169036.42578308177</v>
      </c>
      <c r="AO11" s="142">
        <f>SUM(AN11:AN$14)/U11/U11</f>
        <v>0.0001869881716143708</v>
      </c>
      <c r="AP11" s="98">
        <f t="shared" si="8"/>
        <v>18.968592763181586</v>
      </c>
      <c r="AQ11" s="99">
        <f t="shared" si="9"/>
        <v>19.11736416754488</v>
      </c>
      <c r="AR11" s="99">
        <f t="shared" si="10"/>
        <v>16.053651082555895</v>
      </c>
      <c r="AS11" s="99">
        <f t="shared" si="11"/>
        <v>16.17434729417463</v>
      </c>
      <c r="AT11" s="99">
        <f t="shared" si="12"/>
        <v>2.902177527799947</v>
      </c>
      <c r="AU11" s="143">
        <f t="shared" si="13"/>
        <v>2.9557810261959947</v>
      </c>
    </row>
    <row r="12" spans="1:47" ht="14.25" customHeight="1">
      <c r="A12" s="45"/>
      <c r="B12" s="43" t="s">
        <v>22</v>
      </c>
      <c r="C12" s="154">
        <v>142434</v>
      </c>
      <c r="D12" s="154">
        <v>2717</v>
      </c>
      <c r="E12" s="154">
        <v>142434</v>
      </c>
      <c r="F12" s="155">
        <v>8600</v>
      </c>
      <c r="G12" s="169" t="s">
        <v>22</v>
      </c>
      <c r="H12" s="69">
        <v>3004274</v>
      </c>
      <c r="I12" s="69">
        <v>60024</v>
      </c>
      <c r="J12" s="165">
        <v>75</v>
      </c>
      <c r="K12" s="69">
        <v>85022</v>
      </c>
      <c r="L12" s="70">
        <v>1258636</v>
      </c>
      <c r="M12" s="5"/>
      <c r="N12" s="5"/>
      <c r="O12" s="98">
        <f>((L12-L13)-5*K13)/5/(K12-K13)</f>
        <v>0.5411351809270241</v>
      </c>
      <c r="P12" s="99">
        <f t="shared" si="17"/>
        <v>0.9820559642856838</v>
      </c>
      <c r="Q12" s="100">
        <f t="shared" si="14"/>
        <v>0.019075501635845375</v>
      </c>
      <c r="R12" s="101">
        <f t="shared" si="0"/>
        <v>0.0194240474367673</v>
      </c>
      <c r="S12" s="102">
        <f t="shared" si="1"/>
        <v>0.060378842130390215</v>
      </c>
      <c r="T12" s="103">
        <f>5*R12/(1+5*(1-O12)*R12)</f>
        <v>0.09297672389876341</v>
      </c>
      <c r="U12" s="104">
        <f>U11*(1-T11)</f>
        <v>91535.69519092336</v>
      </c>
      <c r="V12" s="104">
        <f>5*U12*((1-T12)+O12*T12)</f>
        <v>438152.19697920274</v>
      </c>
      <c r="W12" s="105">
        <f>SUM(V12:V$14)</f>
        <v>1373316.350479912</v>
      </c>
      <c r="X12" s="106">
        <f t="shared" si="2"/>
        <v>411697.07464871183</v>
      </c>
      <c r="Y12" s="104">
        <f>SUM(X12:X$14)</f>
        <v>1102957.0442919768</v>
      </c>
      <c r="Z12" s="104">
        <f t="shared" si="3"/>
        <v>26455.122330490918</v>
      </c>
      <c r="AA12" s="105">
        <f>SUM(Z12:Z$14)</f>
        <v>270359.30618793506</v>
      </c>
      <c r="AB12" s="107">
        <f t="shared" si="4"/>
        <v>15.003068995275292</v>
      </c>
      <c r="AC12" s="99">
        <f t="shared" si="5"/>
        <v>12.04947471029144</v>
      </c>
      <c r="AD12" s="191">
        <f t="shared" si="15"/>
        <v>80.31339930574214</v>
      </c>
      <c r="AE12" s="99">
        <f t="shared" si="6"/>
        <v>2.9535942849838515</v>
      </c>
      <c r="AF12" s="108">
        <f t="shared" si="16"/>
        <v>19.686600694257862</v>
      </c>
      <c r="AH12" s="140">
        <f>IF(D12=0,0,T12*T12*(1-T12)/D12)</f>
        <v>2.8858733827024393E-06</v>
      </c>
      <c r="AI12" s="141">
        <f t="shared" si="7"/>
        <v>3.983124643932181E-07</v>
      </c>
      <c r="AJ12" s="141">
        <f>U12*U12*((1-O12)*5+AB13)^2*AH12</f>
        <v>4444751.530290669</v>
      </c>
      <c r="AK12" s="141">
        <f>SUM(AJ12:AJ$14)/U12/U12</f>
        <v>0.0010977805434084571</v>
      </c>
      <c r="AL12" s="141">
        <f>U12*U12*((1-O12)*5*(1-S12)+AC13)^2*AH12+V12*V12*AI12</f>
        <v>2733049.933711404</v>
      </c>
      <c r="AM12" s="141">
        <f>SUM(AL12:AL$14)/U12/U12</f>
        <v>0.0007062193776686379</v>
      </c>
      <c r="AN12" s="141">
        <f>U12*U12*((1-O12)*5*S12+AE13)^2*AH12+V12*V12*AI12</f>
        <v>305290.6590110061</v>
      </c>
      <c r="AO12" s="142">
        <f>SUM(AN12:AN$14)/U12/U12</f>
        <v>0.00018945099733514212</v>
      </c>
      <c r="AP12" s="98">
        <f t="shared" si="8"/>
        <v>14.938128763249544</v>
      </c>
      <c r="AQ12" s="99">
        <f t="shared" si="9"/>
        <v>15.06800922730104</v>
      </c>
      <c r="AR12" s="99">
        <f t="shared" si="10"/>
        <v>11.997388125058274</v>
      </c>
      <c r="AS12" s="99">
        <f t="shared" si="11"/>
        <v>12.101561295524606</v>
      </c>
      <c r="AT12" s="99">
        <f t="shared" si="12"/>
        <v>2.926616609929046</v>
      </c>
      <c r="AU12" s="143">
        <f t="shared" si="13"/>
        <v>2.980571960038657</v>
      </c>
    </row>
    <row r="13" spans="1:47" ht="14.25" customHeight="1">
      <c r="A13" s="45"/>
      <c r="B13" s="43" t="s">
        <v>23</v>
      </c>
      <c r="C13" s="154">
        <v>104171</v>
      </c>
      <c r="D13" s="154">
        <v>3805</v>
      </c>
      <c r="E13" s="154">
        <v>104171</v>
      </c>
      <c r="F13" s="155">
        <v>14300</v>
      </c>
      <c r="G13" s="169" t="s">
        <v>23</v>
      </c>
      <c r="H13" s="69">
        <v>2187849</v>
      </c>
      <c r="I13" s="69">
        <v>84683</v>
      </c>
      <c r="J13" s="165">
        <v>80</v>
      </c>
      <c r="K13" s="69">
        <v>76759</v>
      </c>
      <c r="L13" s="70">
        <v>852484</v>
      </c>
      <c r="M13" s="5"/>
      <c r="N13" s="5"/>
      <c r="O13" s="98">
        <f>((L13-L14)-5*K14)/5/(K13-K14)</f>
        <v>0.5415847974184295</v>
      </c>
      <c r="P13" s="99">
        <f>(I13/H13)/((K13-K14)/(L13-L14))</f>
        <v>0.9765527532179399</v>
      </c>
      <c r="Q13" s="100">
        <f t="shared" si="14"/>
        <v>0.036526480498411264</v>
      </c>
      <c r="R13" s="101">
        <f t="shared" si="0"/>
        <v>0.037403489343559866</v>
      </c>
      <c r="S13" s="102">
        <f t="shared" si="1"/>
        <v>0.1372742893895614</v>
      </c>
      <c r="T13" s="103">
        <f>5*R13/(1+5*(1-O13)*R13)</f>
        <v>0.1722501580530422</v>
      </c>
      <c r="U13" s="104">
        <f>U12*(1-T12)</f>
        <v>83025.0061322755</v>
      </c>
      <c r="V13" s="104">
        <f>5*U13*((1-T13)+O13*T13)</f>
        <v>382345.8901729877</v>
      </c>
      <c r="W13" s="105">
        <f>SUM(V13:V$14)</f>
        <v>935164.1535007093</v>
      </c>
      <c r="X13" s="106">
        <f t="shared" si="2"/>
        <v>329859.6297984715</v>
      </c>
      <c r="Y13" s="104">
        <f>SUM(X13:X$14)</f>
        <v>691259.9696432652</v>
      </c>
      <c r="Z13" s="104">
        <f t="shared" si="3"/>
        <v>52486.260374516176</v>
      </c>
      <c r="AA13" s="105">
        <f>SUM(Z13:Z$14)</f>
        <v>243904.18385744415</v>
      </c>
      <c r="AB13" s="107">
        <f t="shared" si="4"/>
        <v>11.263644497789077</v>
      </c>
      <c r="AC13" s="99">
        <f t="shared" si="5"/>
        <v>8.325924945334533</v>
      </c>
      <c r="AD13" s="191">
        <f t="shared" si="15"/>
        <v>73.91857002383922</v>
      </c>
      <c r="AE13" s="99">
        <f t="shared" si="6"/>
        <v>2.937719552454544</v>
      </c>
      <c r="AF13" s="108">
        <f t="shared" si="16"/>
        <v>26.081429976160774</v>
      </c>
      <c r="AH13" s="140">
        <f>IF(D13=0,0,T13*T13*(1-T13)/D13)</f>
        <v>6.454516324659445E-06</v>
      </c>
      <c r="AI13" s="141">
        <f t="shared" si="7"/>
        <v>1.1368812708157966E-06</v>
      </c>
      <c r="AJ13" s="141">
        <f>U13*U13*((1-O13)*5+AB14)^2*AH13</f>
        <v>4753313.966948465</v>
      </c>
      <c r="AK13" s="141">
        <f>SUM(AJ13:AJ$14)/U13/U13</f>
        <v>0.0006895704915462214</v>
      </c>
      <c r="AL13" s="141">
        <f>U13*U13*((1-O13)*5*(1-S13)+AC14)^2*AH13+V13*V13*AI13</f>
        <v>2495886.5686062095</v>
      </c>
      <c r="AM13" s="141">
        <f>SUM(AL13:AL$14)/U13/U13</f>
        <v>0.00046193809390707966</v>
      </c>
      <c r="AN13" s="141">
        <f>U13*U13*((1-O13)*5*S13+AE14)^2*AH13+V13*V13*AI13</f>
        <v>593755.4679029481</v>
      </c>
      <c r="AO13" s="142">
        <f>SUM(AN13:AN$14)/U13/U13</f>
        <v>0.0001859930401576934</v>
      </c>
      <c r="AP13" s="98">
        <f t="shared" si="8"/>
        <v>11.212175536265416</v>
      </c>
      <c r="AQ13" s="99">
        <f t="shared" si="9"/>
        <v>11.315113459312737</v>
      </c>
      <c r="AR13" s="99">
        <f t="shared" si="10"/>
        <v>8.283799164848547</v>
      </c>
      <c r="AS13" s="99">
        <f t="shared" si="11"/>
        <v>8.368050725820519</v>
      </c>
      <c r="AT13" s="99">
        <f t="shared" si="12"/>
        <v>2.9109892164471196</v>
      </c>
      <c r="AU13" s="143">
        <f t="shared" si="13"/>
        <v>2.964449888461968</v>
      </c>
    </row>
    <row r="14" spans="1:47" ht="14.25" customHeight="1" thickBot="1">
      <c r="A14" s="46"/>
      <c r="B14" s="47" t="s">
        <v>24</v>
      </c>
      <c r="C14" s="160">
        <v>100503</v>
      </c>
      <c r="D14" s="160">
        <v>10627</v>
      </c>
      <c r="E14" s="160">
        <v>100503</v>
      </c>
      <c r="F14" s="161">
        <v>34800</v>
      </c>
      <c r="G14" s="171" t="s">
        <v>24</v>
      </c>
      <c r="H14" s="73">
        <v>2115705</v>
      </c>
      <c r="I14" s="73">
        <v>225778</v>
      </c>
      <c r="J14" s="167">
        <v>85</v>
      </c>
      <c r="K14" s="73">
        <v>62814</v>
      </c>
      <c r="L14" s="74">
        <v>500652</v>
      </c>
      <c r="M14" s="5"/>
      <c r="N14" s="5"/>
      <c r="O14" s="127">
        <v>1</v>
      </c>
      <c r="P14" s="128">
        <f>(I14/H14)/(K14/L14)</f>
        <v>0.8505620750523192</v>
      </c>
      <c r="Q14" s="129">
        <f t="shared" si="14"/>
        <v>0.10573813717003473</v>
      </c>
      <c r="R14" s="130">
        <f t="shared" si="0"/>
        <v>0.12431560290709016</v>
      </c>
      <c r="S14" s="131">
        <f t="shared" si="1"/>
        <v>0.34625832064714485</v>
      </c>
      <c r="T14" s="127">
        <v>1</v>
      </c>
      <c r="U14" s="132">
        <f>U13*(1-T13)</f>
        <v>68723.93570363625</v>
      </c>
      <c r="V14" s="132">
        <f>U14/R14</f>
        <v>552818.2633277216</v>
      </c>
      <c r="W14" s="133">
        <f>SUM(V14:V$14)</f>
        <v>552818.2633277216</v>
      </c>
      <c r="X14" s="127">
        <f t="shared" si="2"/>
        <v>361400.33984479366</v>
      </c>
      <c r="Y14" s="132">
        <f>SUM(X14:X$14)</f>
        <v>361400.33984479366</v>
      </c>
      <c r="Z14" s="132">
        <f t="shared" si="3"/>
        <v>191417.923482928</v>
      </c>
      <c r="AA14" s="133">
        <f>SUM(Z14:Z$14)</f>
        <v>191417.923482928</v>
      </c>
      <c r="AB14" s="134">
        <f t="shared" si="4"/>
        <v>8.044042554717533</v>
      </c>
      <c r="AC14" s="128">
        <f t="shared" si="5"/>
        <v>5.258725888506872</v>
      </c>
      <c r="AD14" s="193">
        <f t="shared" si="15"/>
        <v>65.37416793528553</v>
      </c>
      <c r="AE14" s="128">
        <f t="shared" si="6"/>
        <v>2.7853166662106617</v>
      </c>
      <c r="AF14" s="135">
        <f t="shared" si="16"/>
        <v>34.62583206471449</v>
      </c>
      <c r="AH14" s="172">
        <f>0</f>
        <v>0</v>
      </c>
      <c r="AI14" s="173">
        <f t="shared" si="7"/>
        <v>2.252305861812721E-06</v>
      </c>
      <c r="AJ14" s="173">
        <v>0</v>
      </c>
      <c r="AK14" s="173">
        <f>(1-R14)/R14/R14/D14</f>
        <v>0.005331944863779905</v>
      </c>
      <c r="AL14" s="173">
        <f>V14*V14*AI14</f>
        <v>688322.762495795</v>
      </c>
      <c r="AM14" s="173">
        <f>(1-S14)*(1-S14)*(1-R14)/R14/R14/D14+AI14/R14/R14</f>
        <v>0.002424496010386406</v>
      </c>
      <c r="AN14" s="173">
        <f>V14*V14*AI14</f>
        <v>688322.762495795</v>
      </c>
      <c r="AO14" s="174">
        <f>S14*S14*(1-R14)/R14/R14/D14+AI14/R14/R14</f>
        <v>0.0007850116952376996</v>
      </c>
      <c r="AP14" s="150">
        <f t="shared" si="8"/>
        <v>7.900923026389996</v>
      </c>
      <c r="AQ14" s="128">
        <f t="shared" si="9"/>
        <v>8.187162083045072</v>
      </c>
      <c r="AR14" s="128">
        <f t="shared" si="10"/>
        <v>5.162217112359309</v>
      </c>
      <c r="AS14" s="128">
        <f t="shared" si="11"/>
        <v>5.355234664654435</v>
      </c>
      <c r="AT14" s="128">
        <f t="shared" si="12"/>
        <v>2.730401268293273</v>
      </c>
      <c r="AU14" s="151">
        <f t="shared" si="13"/>
        <v>2.8402320641280503</v>
      </c>
    </row>
    <row r="15" spans="7:12" ht="7.5" customHeight="1" thickTop="1">
      <c r="G15" s="16"/>
      <c r="H15" s="16"/>
      <c r="I15" s="16"/>
      <c r="J15" s="16"/>
      <c r="K15" s="16"/>
      <c r="L15" s="16"/>
    </row>
    <row r="16" spans="1:13" ht="15" customHeight="1" thickBot="1">
      <c r="A16" s="1" t="s">
        <v>63</v>
      </c>
      <c r="G16" s="16"/>
      <c r="H16" s="16"/>
      <c r="I16" s="16"/>
      <c r="J16" s="255" t="s">
        <v>59</v>
      </c>
      <c r="K16" s="256"/>
      <c r="L16" s="256"/>
      <c r="M16" s="256"/>
    </row>
    <row r="17" spans="1:13" ht="14.25" customHeight="1" thickTop="1">
      <c r="A17" s="243" t="s">
        <v>19</v>
      </c>
      <c r="B17" s="245" t="s">
        <v>91</v>
      </c>
      <c r="C17" s="251" t="s">
        <v>8</v>
      </c>
      <c r="D17" s="252"/>
      <c r="E17" s="252"/>
      <c r="F17" s="253" t="s">
        <v>9</v>
      </c>
      <c r="G17" s="252"/>
      <c r="H17" s="252"/>
      <c r="I17" s="252"/>
      <c r="J17" s="253" t="s">
        <v>10</v>
      </c>
      <c r="K17" s="252"/>
      <c r="L17" s="252"/>
      <c r="M17" s="254"/>
    </row>
    <row r="18" spans="1:13" ht="14.25" customHeight="1">
      <c r="A18" s="244"/>
      <c r="B18" s="246"/>
      <c r="C18" s="36" t="s">
        <v>34</v>
      </c>
      <c r="D18" s="261" t="s">
        <v>55</v>
      </c>
      <c r="E18" s="262"/>
      <c r="F18" s="39" t="s">
        <v>34</v>
      </c>
      <c r="G18" s="261" t="s">
        <v>55</v>
      </c>
      <c r="H18" s="263"/>
      <c r="I18" s="58" t="s">
        <v>58</v>
      </c>
      <c r="J18" s="39" t="s">
        <v>34</v>
      </c>
      <c r="K18" s="261" t="s">
        <v>55</v>
      </c>
      <c r="L18" s="263"/>
      <c r="M18" s="57" t="s">
        <v>58</v>
      </c>
    </row>
    <row r="19" spans="1:13" ht="14.25" customHeight="1">
      <c r="A19" s="41" t="s">
        <v>2</v>
      </c>
      <c r="B19" s="42">
        <v>65</v>
      </c>
      <c r="C19" s="198">
        <f>AB5</f>
        <v>18.24630970888158</v>
      </c>
      <c r="D19" s="198">
        <f>AP5</f>
        <v>18.156932345299058</v>
      </c>
      <c r="E19" s="199">
        <f>AQ5</f>
        <v>18.3356870724641</v>
      </c>
      <c r="F19" s="200">
        <f>AC5</f>
        <v>16.847842571301914</v>
      </c>
      <c r="G19" s="198">
        <f>AR5</f>
        <v>16.768987721272946</v>
      </c>
      <c r="H19" s="198">
        <f>AS5</f>
        <v>16.926697421330882</v>
      </c>
      <c r="I19" s="213">
        <f>AD5</f>
        <v>92.33561657183235</v>
      </c>
      <c r="J19" s="200">
        <f>AE5</f>
        <v>1.3984671375796642</v>
      </c>
      <c r="K19" s="198">
        <f>AT5</f>
        <v>1.378927909322818</v>
      </c>
      <c r="L19" s="198">
        <f>AU5</f>
        <v>1.4180063658365105</v>
      </c>
      <c r="M19" s="218">
        <f>AF5</f>
        <v>7.664383428167647</v>
      </c>
    </row>
    <row r="20" spans="1:13" ht="14.25" customHeight="1">
      <c r="A20" s="41"/>
      <c r="B20" s="43">
        <v>70</v>
      </c>
      <c r="C20" s="201">
        <f aca="true" t="shared" si="18" ref="C20:C27">AB6</f>
        <v>14.467820925230352</v>
      </c>
      <c r="D20" s="201">
        <f aca="true" t="shared" si="19" ref="D20:D28">AP6</f>
        <v>14.385225500794325</v>
      </c>
      <c r="E20" s="202">
        <f aca="true" t="shared" si="20" ref="E20:E28">AQ6</f>
        <v>14.55041634966638</v>
      </c>
      <c r="F20" s="203">
        <f aca="true" t="shared" si="21" ref="F20:F28">AC6</f>
        <v>13.049379112778148</v>
      </c>
      <c r="G20" s="201">
        <f aca="true" t="shared" si="22" ref="G20:G28">AR6</f>
        <v>12.97752600007162</v>
      </c>
      <c r="H20" s="201">
        <f aca="true" t="shared" si="23" ref="H20:H28">AS6</f>
        <v>13.121232225484675</v>
      </c>
      <c r="I20" s="214">
        <f aca="true" t="shared" si="24" ref="I20:I28">AD6</f>
        <v>90.19588492432476</v>
      </c>
      <c r="J20" s="203">
        <f aca="true" t="shared" si="25" ref="J20:J28">AE6</f>
        <v>1.4184418124522065</v>
      </c>
      <c r="K20" s="201">
        <f aca="true" t="shared" si="26" ref="K20:K28">AT6</f>
        <v>1.3980721042617024</v>
      </c>
      <c r="L20" s="201">
        <f aca="true" t="shared" si="27" ref="L20:L28">AU6</f>
        <v>1.4388115206427106</v>
      </c>
      <c r="M20" s="219">
        <f aca="true" t="shared" si="28" ref="M20:M28">AF6</f>
        <v>9.804115075675243</v>
      </c>
    </row>
    <row r="21" spans="1:13" ht="14.25" customHeight="1">
      <c r="A21" s="41"/>
      <c r="B21" s="43">
        <v>75</v>
      </c>
      <c r="C21" s="201">
        <f t="shared" si="18"/>
        <v>11.14769052364046</v>
      </c>
      <c r="D21" s="201">
        <f t="shared" si="19"/>
        <v>11.072940882874168</v>
      </c>
      <c r="E21" s="202">
        <f t="shared" si="20"/>
        <v>11.222440164406752</v>
      </c>
      <c r="F21" s="203">
        <f t="shared" si="21"/>
        <v>9.714550661391492</v>
      </c>
      <c r="G21" s="201">
        <f t="shared" si="22"/>
        <v>9.650526015247403</v>
      </c>
      <c r="H21" s="201">
        <f t="shared" si="23"/>
        <v>9.778575307535581</v>
      </c>
      <c r="I21" s="214">
        <f t="shared" si="24"/>
        <v>87.14406486967175</v>
      </c>
      <c r="J21" s="203">
        <f t="shared" si="25"/>
        <v>1.4331398622489682</v>
      </c>
      <c r="K21" s="201">
        <f t="shared" si="26"/>
        <v>1.411376577191683</v>
      </c>
      <c r="L21" s="201">
        <f t="shared" si="27"/>
        <v>1.4549031473062533</v>
      </c>
      <c r="M21" s="219">
        <f t="shared" si="28"/>
        <v>12.855935130328259</v>
      </c>
    </row>
    <row r="22" spans="1:13" ht="14.25" customHeight="1">
      <c r="A22" s="41"/>
      <c r="B22" s="43">
        <v>80</v>
      </c>
      <c r="C22" s="201">
        <f t="shared" si="18"/>
        <v>8.24753459853253</v>
      </c>
      <c r="D22" s="201">
        <f t="shared" si="19"/>
        <v>8.182513103883103</v>
      </c>
      <c r="E22" s="202">
        <f t="shared" si="20"/>
        <v>8.312556093181957</v>
      </c>
      <c r="F22" s="203">
        <f t="shared" si="21"/>
        <v>6.815774649834644</v>
      </c>
      <c r="G22" s="201">
        <f t="shared" si="22"/>
        <v>6.760296838347659</v>
      </c>
      <c r="H22" s="201">
        <f t="shared" si="23"/>
        <v>6.871252461321629</v>
      </c>
      <c r="I22" s="214">
        <f t="shared" si="24"/>
        <v>82.64014619650536</v>
      </c>
      <c r="J22" s="203">
        <f t="shared" si="25"/>
        <v>1.4317599486978867</v>
      </c>
      <c r="K22" s="201">
        <f t="shared" si="26"/>
        <v>1.4078320516999823</v>
      </c>
      <c r="L22" s="201">
        <f t="shared" si="27"/>
        <v>1.4556878456957911</v>
      </c>
      <c r="M22" s="219">
        <f t="shared" si="28"/>
        <v>17.35985380349465</v>
      </c>
    </row>
    <row r="23" spans="1:13" ht="14.25" customHeight="1">
      <c r="A23" s="39"/>
      <c r="B23" s="44">
        <v>85</v>
      </c>
      <c r="C23" s="204">
        <f t="shared" si="18"/>
        <v>5.881504303747871</v>
      </c>
      <c r="D23" s="204">
        <f t="shared" si="19"/>
        <v>5.7491058959969665</v>
      </c>
      <c r="E23" s="205">
        <f t="shared" si="20"/>
        <v>6.013902711498775</v>
      </c>
      <c r="F23" s="206">
        <f t="shared" si="21"/>
        <v>4.4463053968938455</v>
      </c>
      <c r="G23" s="204">
        <f t="shared" si="22"/>
        <v>4.343180007043617</v>
      </c>
      <c r="H23" s="204">
        <f t="shared" si="23"/>
        <v>4.549430786744074</v>
      </c>
      <c r="I23" s="215">
        <f t="shared" si="24"/>
        <v>75.59809816105255</v>
      </c>
      <c r="J23" s="206">
        <f t="shared" si="25"/>
        <v>1.435198906854025</v>
      </c>
      <c r="K23" s="204">
        <f t="shared" si="26"/>
        <v>1.394449777497147</v>
      </c>
      <c r="L23" s="204">
        <f t="shared" si="27"/>
        <v>1.475948036210903</v>
      </c>
      <c r="M23" s="220">
        <f t="shared" si="28"/>
        <v>24.40190183894745</v>
      </c>
    </row>
    <row r="24" spans="1:13" ht="14.25" customHeight="1">
      <c r="A24" s="41" t="s">
        <v>11</v>
      </c>
      <c r="B24" s="56">
        <v>65</v>
      </c>
      <c r="C24" s="207">
        <f t="shared" si="18"/>
        <v>23.384965915219915</v>
      </c>
      <c r="D24" s="207">
        <f t="shared" si="19"/>
        <v>23.303600811465618</v>
      </c>
      <c r="E24" s="208">
        <f t="shared" si="20"/>
        <v>23.466331018974213</v>
      </c>
      <c r="F24" s="209">
        <f t="shared" si="21"/>
        <v>20.486478813434243</v>
      </c>
      <c r="G24" s="207">
        <f t="shared" si="22"/>
        <v>20.419523053748026</v>
      </c>
      <c r="H24" s="207">
        <f t="shared" si="23"/>
        <v>20.55343457312046</v>
      </c>
      <c r="I24" s="216">
        <f t="shared" si="24"/>
        <v>87.60533963447338</v>
      </c>
      <c r="J24" s="209">
        <f t="shared" si="25"/>
        <v>2.898487101785668</v>
      </c>
      <c r="K24" s="207">
        <f t="shared" si="26"/>
        <v>2.8718752010003397</v>
      </c>
      <c r="L24" s="207">
        <f t="shared" si="27"/>
        <v>2.9250990025709966</v>
      </c>
      <c r="M24" s="221">
        <f t="shared" si="28"/>
        <v>12.394660365526603</v>
      </c>
    </row>
    <row r="25" spans="1:13" ht="14.25" customHeight="1">
      <c r="A25" s="45"/>
      <c r="B25" s="43">
        <v>70</v>
      </c>
      <c r="C25" s="201">
        <f t="shared" si="18"/>
        <v>19.042978465363234</v>
      </c>
      <c r="D25" s="201">
        <f t="shared" si="19"/>
        <v>18.968592763181586</v>
      </c>
      <c r="E25" s="202">
        <f t="shared" si="20"/>
        <v>19.11736416754488</v>
      </c>
      <c r="F25" s="203">
        <f t="shared" si="21"/>
        <v>16.113999188365263</v>
      </c>
      <c r="G25" s="201">
        <f t="shared" si="22"/>
        <v>16.053651082555895</v>
      </c>
      <c r="H25" s="201">
        <f t="shared" si="23"/>
        <v>16.17434729417463</v>
      </c>
      <c r="I25" s="214">
        <f t="shared" si="24"/>
        <v>84.61911154116247</v>
      </c>
      <c r="J25" s="203">
        <f t="shared" si="25"/>
        <v>2.928979276997971</v>
      </c>
      <c r="K25" s="201">
        <f t="shared" si="26"/>
        <v>2.902177527799947</v>
      </c>
      <c r="L25" s="201">
        <f t="shared" si="27"/>
        <v>2.9557810261959947</v>
      </c>
      <c r="M25" s="219">
        <f t="shared" si="28"/>
        <v>15.380888458837536</v>
      </c>
    </row>
    <row r="26" spans="1:13" ht="14.25" customHeight="1">
      <c r="A26" s="45"/>
      <c r="B26" s="43">
        <v>75</v>
      </c>
      <c r="C26" s="201">
        <f t="shared" si="18"/>
        <v>15.003068995275292</v>
      </c>
      <c r="D26" s="201">
        <f t="shared" si="19"/>
        <v>14.938128763249544</v>
      </c>
      <c r="E26" s="202">
        <f t="shared" si="20"/>
        <v>15.06800922730104</v>
      </c>
      <c r="F26" s="203">
        <f t="shared" si="21"/>
        <v>12.04947471029144</v>
      </c>
      <c r="G26" s="201">
        <f t="shared" si="22"/>
        <v>11.997388125058274</v>
      </c>
      <c r="H26" s="201">
        <f t="shared" si="23"/>
        <v>12.101561295524606</v>
      </c>
      <c r="I26" s="214">
        <f t="shared" si="24"/>
        <v>80.31339930574214</v>
      </c>
      <c r="J26" s="203">
        <f t="shared" si="25"/>
        <v>2.9535942849838515</v>
      </c>
      <c r="K26" s="201">
        <f t="shared" si="26"/>
        <v>2.926616609929046</v>
      </c>
      <c r="L26" s="201">
        <f t="shared" si="27"/>
        <v>2.980571960038657</v>
      </c>
      <c r="M26" s="219">
        <f t="shared" si="28"/>
        <v>19.686600694257862</v>
      </c>
    </row>
    <row r="27" spans="1:13" ht="14.25" customHeight="1">
      <c r="A27" s="45"/>
      <c r="B27" s="43">
        <v>80</v>
      </c>
      <c r="C27" s="201">
        <f t="shared" si="18"/>
        <v>11.263644497789077</v>
      </c>
      <c r="D27" s="201">
        <f t="shared" si="19"/>
        <v>11.212175536265416</v>
      </c>
      <c r="E27" s="202">
        <f t="shared" si="20"/>
        <v>11.315113459312737</v>
      </c>
      <c r="F27" s="203">
        <f t="shared" si="21"/>
        <v>8.325924945334533</v>
      </c>
      <c r="G27" s="201">
        <f t="shared" si="22"/>
        <v>8.283799164848547</v>
      </c>
      <c r="H27" s="201">
        <f t="shared" si="23"/>
        <v>8.368050725820519</v>
      </c>
      <c r="I27" s="214">
        <f t="shared" si="24"/>
        <v>73.91857002383922</v>
      </c>
      <c r="J27" s="203">
        <f t="shared" si="25"/>
        <v>2.937719552454544</v>
      </c>
      <c r="K27" s="201">
        <f t="shared" si="26"/>
        <v>2.9109892164471196</v>
      </c>
      <c r="L27" s="201">
        <f t="shared" si="27"/>
        <v>2.964449888461968</v>
      </c>
      <c r="M27" s="219">
        <f t="shared" si="28"/>
        <v>26.081429976160774</v>
      </c>
    </row>
    <row r="28" spans="1:13" ht="14.25" customHeight="1" thickBot="1">
      <c r="A28" s="46"/>
      <c r="B28" s="47">
        <v>85</v>
      </c>
      <c r="C28" s="210">
        <f>AB14</f>
        <v>8.044042554717533</v>
      </c>
      <c r="D28" s="210">
        <f t="shared" si="19"/>
        <v>7.900923026389996</v>
      </c>
      <c r="E28" s="211">
        <f t="shared" si="20"/>
        <v>8.187162083045072</v>
      </c>
      <c r="F28" s="212">
        <f t="shared" si="21"/>
        <v>5.258725888506872</v>
      </c>
      <c r="G28" s="210">
        <f t="shared" si="22"/>
        <v>5.162217112359309</v>
      </c>
      <c r="H28" s="210">
        <f t="shared" si="23"/>
        <v>5.355234664654435</v>
      </c>
      <c r="I28" s="217">
        <f t="shared" si="24"/>
        <v>65.37416793528553</v>
      </c>
      <c r="J28" s="212">
        <f t="shared" si="25"/>
        <v>2.7853166662106617</v>
      </c>
      <c r="K28" s="210">
        <f t="shared" si="26"/>
        <v>2.730401268293273</v>
      </c>
      <c r="L28" s="210">
        <f t="shared" si="27"/>
        <v>2.8402320641280503</v>
      </c>
      <c r="M28" s="222">
        <f t="shared" si="28"/>
        <v>34.62583206471449</v>
      </c>
    </row>
    <row r="29" ht="7.5" customHeight="1" thickTop="1"/>
  </sheetData>
  <sheetProtection password="83CD" sheet="1" objects="1" scenarios="1"/>
  <protectedRanges>
    <protectedRange sqref="C5:F14" name="範囲1"/>
  </protectedRanges>
  <mergeCells count="29">
    <mergeCell ref="B2:F2"/>
    <mergeCell ref="G2:L2"/>
    <mergeCell ref="O2:P2"/>
    <mergeCell ref="V3:W3"/>
    <mergeCell ref="Q2:S2"/>
    <mergeCell ref="X2:AA2"/>
    <mergeCell ref="AB2:AF2"/>
    <mergeCell ref="AC3:AD3"/>
    <mergeCell ref="AE3:AF3"/>
    <mergeCell ref="AP2:AU2"/>
    <mergeCell ref="D18:E18"/>
    <mergeCell ref="G18:H18"/>
    <mergeCell ref="K18:L18"/>
    <mergeCell ref="AJ3:AK3"/>
    <mergeCell ref="AL3:AM3"/>
    <mergeCell ref="AN3:AO3"/>
    <mergeCell ref="AH2:AO2"/>
    <mergeCell ref="T2:W2"/>
    <mergeCell ref="Z3:AA3"/>
    <mergeCell ref="AT3:AU3"/>
    <mergeCell ref="C17:E17"/>
    <mergeCell ref="F17:I17"/>
    <mergeCell ref="J17:M17"/>
    <mergeCell ref="J16:M16"/>
    <mergeCell ref="X3:Y3"/>
    <mergeCell ref="A17:A18"/>
    <mergeCell ref="B17:B18"/>
    <mergeCell ref="AP3:AQ3"/>
    <mergeCell ref="AR3:AS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H47" sqref="H47"/>
    </sheetView>
  </sheetViews>
  <sheetFormatPr defaultColWidth="8.796875" defaultRowHeight="15"/>
  <cols>
    <col min="1" max="1" width="6.59765625" style="1" customWidth="1"/>
    <col min="2" max="4" width="10.59765625" style="1" customWidth="1"/>
    <col min="5" max="5" width="6.59765625" style="1" customWidth="1"/>
    <col min="6" max="7" width="10.59765625" style="1" customWidth="1"/>
    <col min="8" max="11" width="4.59765625" style="1" customWidth="1"/>
    <col min="12" max="14" width="14.59765625" style="1" customWidth="1"/>
    <col min="15" max="16384" width="9" style="1" customWidth="1"/>
  </cols>
  <sheetData>
    <row r="1" ht="14.25" customHeight="1">
      <c r="A1" s="1" t="s">
        <v>68</v>
      </c>
    </row>
    <row r="2" ht="9.75" customHeight="1"/>
    <row r="3" spans="1:9" ht="14.25" customHeight="1" thickBot="1">
      <c r="A3" s="1" t="s">
        <v>71</v>
      </c>
      <c r="I3" s="1" t="s">
        <v>35</v>
      </c>
    </row>
    <row r="4" spans="1:10" ht="14.25" customHeight="1" thickTop="1">
      <c r="A4" s="28"/>
      <c r="B4" s="257" t="s">
        <v>62</v>
      </c>
      <c r="C4" s="258"/>
      <c r="D4" s="258"/>
      <c r="E4" s="258"/>
      <c r="F4" s="258"/>
      <c r="G4" s="277"/>
      <c r="J4" s="1" t="s">
        <v>69</v>
      </c>
    </row>
    <row r="5" spans="1:11" ht="14.25" customHeight="1">
      <c r="A5" s="29" t="s">
        <v>19</v>
      </c>
      <c r="B5" s="32" t="s">
        <v>25</v>
      </c>
      <c r="C5" s="33" t="s">
        <v>17</v>
      </c>
      <c r="D5" s="33" t="s">
        <v>1</v>
      </c>
      <c r="E5" s="33" t="s">
        <v>13</v>
      </c>
      <c r="F5" s="33" t="s">
        <v>4</v>
      </c>
      <c r="G5" s="34" t="s">
        <v>5</v>
      </c>
      <c r="K5" s="1" t="s">
        <v>70</v>
      </c>
    </row>
    <row r="6" spans="1:10" ht="14.25" customHeight="1">
      <c r="A6" s="35"/>
      <c r="B6" s="39" t="s">
        <v>14</v>
      </c>
      <c r="C6" s="40" t="s">
        <v>18</v>
      </c>
      <c r="D6" s="40" t="s">
        <v>18</v>
      </c>
      <c r="E6" s="175" t="s">
        <v>75</v>
      </c>
      <c r="F6" s="175" t="s">
        <v>94</v>
      </c>
      <c r="G6" s="176" t="s">
        <v>95</v>
      </c>
      <c r="J6" s="1" t="s">
        <v>37</v>
      </c>
    </row>
    <row r="7" spans="1:11" ht="14.25" customHeight="1">
      <c r="A7" s="41" t="s">
        <v>2</v>
      </c>
      <c r="B7" s="48" t="s">
        <v>20</v>
      </c>
      <c r="C7" s="7">
        <v>3543105</v>
      </c>
      <c r="D7" s="7">
        <v>55261</v>
      </c>
      <c r="E7" s="52">
        <v>65</v>
      </c>
      <c r="F7" s="7">
        <v>85606</v>
      </c>
      <c r="G7" s="13">
        <v>1549936</v>
      </c>
      <c r="K7" s="1" t="s">
        <v>36</v>
      </c>
    </row>
    <row r="8" spans="1:7" ht="14.25" customHeight="1">
      <c r="A8" s="41"/>
      <c r="B8" s="49" t="s">
        <v>21</v>
      </c>
      <c r="C8" s="8">
        <v>3040918</v>
      </c>
      <c r="D8" s="8">
        <v>80198</v>
      </c>
      <c r="E8" s="53">
        <v>70</v>
      </c>
      <c r="F8" s="8">
        <v>79086</v>
      </c>
      <c r="G8" s="14">
        <v>1137070</v>
      </c>
    </row>
    <row r="9" spans="1:13" ht="14.25" customHeight="1">
      <c r="A9" s="41"/>
      <c r="B9" s="49" t="s">
        <v>22</v>
      </c>
      <c r="C9" s="8">
        <v>2256826</v>
      </c>
      <c r="D9" s="8">
        <v>99338</v>
      </c>
      <c r="E9" s="53">
        <v>75</v>
      </c>
      <c r="F9" s="8">
        <v>69103</v>
      </c>
      <c r="G9" s="14">
        <v>765001</v>
      </c>
      <c r="I9" s="1" t="s">
        <v>39</v>
      </c>
      <c r="J9" s="27"/>
      <c r="K9" s="27"/>
      <c r="L9" s="19"/>
      <c r="M9" s="19"/>
    </row>
    <row r="10" spans="1:14" ht="14.25" customHeight="1">
      <c r="A10" s="41"/>
      <c r="B10" s="49" t="s">
        <v>23</v>
      </c>
      <c r="C10" s="8">
        <v>1221288</v>
      </c>
      <c r="D10" s="8">
        <v>89502</v>
      </c>
      <c r="E10" s="53">
        <v>80</v>
      </c>
      <c r="F10" s="8">
        <v>55006</v>
      </c>
      <c r="G10" s="14">
        <v>452923</v>
      </c>
      <c r="J10" s="25"/>
      <c r="K10" s="26"/>
      <c r="L10" s="10" t="s">
        <v>15</v>
      </c>
      <c r="M10" s="10" t="s">
        <v>16</v>
      </c>
      <c r="N10" s="10" t="s">
        <v>100</v>
      </c>
    </row>
    <row r="11" spans="1:14" ht="14.25" customHeight="1">
      <c r="A11" s="39"/>
      <c r="B11" s="50" t="s">
        <v>24</v>
      </c>
      <c r="C11" s="9">
        <v>810592</v>
      </c>
      <c r="D11" s="9">
        <v>127261</v>
      </c>
      <c r="E11" s="54">
        <v>85</v>
      </c>
      <c r="F11" s="9">
        <v>37293</v>
      </c>
      <c r="G11" s="15">
        <v>221138</v>
      </c>
      <c r="J11" s="11" t="s">
        <v>17</v>
      </c>
      <c r="K11" s="23"/>
      <c r="L11" s="20" t="s">
        <v>74</v>
      </c>
      <c r="M11" s="20" t="s">
        <v>38</v>
      </c>
      <c r="N11" s="20" t="s">
        <v>38</v>
      </c>
    </row>
    <row r="12" spans="1:14" ht="14.25" customHeight="1">
      <c r="A12" s="41" t="s">
        <v>11</v>
      </c>
      <c r="B12" s="48" t="s">
        <v>20</v>
      </c>
      <c r="C12" s="7">
        <v>3879862</v>
      </c>
      <c r="D12" s="7">
        <v>25568</v>
      </c>
      <c r="E12" s="52">
        <v>65</v>
      </c>
      <c r="F12" s="7">
        <v>93069</v>
      </c>
      <c r="G12" s="13">
        <v>2155750</v>
      </c>
      <c r="J12" s="11"/>
      <c r="K12" s="23"/>
      <c r="L12" s="20"/>
      <c r="M12" s="20"/>
      <c r="N12" s="20"/>
    </row>
    <row r="13" spans="1:14" ht="14.25" customHeight="1">
      <c r="A13" s="45"/>
      <c r="B13" s="49" t="s">
        <v>21</v>
      </c>
      <c r="C13" s="8">
        <v>3593932</v>
      </c>
      <c r="D13" s="8">
        <v>40627</v>
      </c>
      <c r="E13" s="53">
        <v>70</v>
      </c>
      <c r="F13" s="8">
        <v>90045</v>
      </c>
      <c r="G13" s="14">
        <v>1697386</v>
      </c>
      <c r="J13" s="3" t="s">
        <v>1</v>
      </c>
      <c r="K13" s="22"/>
      <c r="L13" s="6" t="s">
        <v>0</v>
      </c>
      <c r="M13" s="6" t="s">
        <v>0</v>
      </c>
      <c r="N13" s="6" t="s">
        <v>0</v>
      </c>
    </row>
    <row r="14" spans="1:14" ht="14.25" customHeight="1">
      <c r="A14" s="45"/>
      <c r="B14" s="49" t="s">
        <v>22</v>
      </c>
      <c r="C14" s="8">
        <v>3004274</v>
      </c>
      <c r="D14" s="8">
        <v>60024</v>
      </c>
      <c r="E14" s="53">
        <v>75</v>
      </c>
      <c r="F14" s="8">
        <v>85022</v>
      </c>
      <c r="G14" s="14">
        <v>1258636</v>
      </c>
      <c r="J14" s="12"/>
      <c r="K14" s="24"/>
      <c r="L14" s="21"/>
      <c r="M14" s="21"/>
      <c r="N14" s="21"/>
    </row>
    <row r="15" spans="1:14" ht="14.25" customHeight="1">
      <c r="A15" s="45"/>
      <c r="B15" s="49" t="s">
        <v>23</v>
      </c>
      <c r="C15" s="8">
        <v>2187849</v>
      </c>
      <c r="D15" s="8">
        <v>84683</v>
      </c>
      <c r="E15" s="53">
        <v>80</v>
      </c>
      <c r="F15" s="8">
        <v>76759</v>
      </c>
      <c r="G15" s="14">
        <v>852484</v>
      </c>
      <c r="J15" s="11" t="s">
        <v>29</v>
      </c>
      <c r="K15" s="23"/>
      <c r="L15" s="20" t="s">
        <v>12</v>
      </c>
      <c r="M15" s="20" t="s">
        <v>12</v>
      </c>
      <c r="N15" s="20" t="s">
        <v>12</v>
      </c>
    </row>
    <row r="16" spans="1:14" ht="14.25" customHeight="1" thickBot="1">
      <c r="A16" s="46"/>
      <c r="B16" s="51" t="s">
        <v>24</v>
      </c>
      <c r="C16" s="17">
        <v>2115705</v>
      </c>
      <c r="D16" s="17">
        <v>225778</v>
      </c>
      <c r="E16" s="55">
        <v>85</v>
      </c>
      <c r="F16" s="17">
        <v>62814</v>
      </c>
      <c r="G16" s="18">
        <v>500652</v>
      </c>
      <c r="J16" s="12"/>
      <c r="K16" s="24"/>
      <c r="L16" s="21"/>
      <c r="M16" s="21"/>
      <c r="N16" s="21"/>
    </row>
    <row r="17" spans="2:13" ht="9.75" customHeight="1" thickTop="1">
      <c r="B17" s="5"/>
      <c r="C17" s="5"/>
      <c r="D17" s="5"/>
      <c r="E17" s="5"/>
      <c r="F17" s="5"/>
      <c r="G17" s="5"/>
      <c r="I17" s="16"/>
      <c r="J17" s="16"/>
      <c r="K17" s="16"/>
      <c r="L17" s="16"/>
      <c r="M17" s="16"/>
    </row>
    <row r="18" ht="14.25" customHeight="1" thickBot="1">
      <c r="A18" s="1" t="s">
        <v>72</v>
      </c>
    </row>
    <row r="19" spans="1:7" ht="14.25" customHeight="1" thickTop="1">
      <c r="A19" s="28"/>
      <c r="B19" s="257" t="s">
        <v>62</v>
      </c>
      <c r="C19" s="258"/>
      <c r="D19" s="258"/>
      <c r="E19" s="258"/>
      <c r="F19" s="258"/>
      <c r="G19" s="277"/>
    </row>
    <row r="20" spans="1:7" ht="14.25" customHeight="1">
      <c r="A20" s="29" t="s">
        <v>19</v>
      </c>
      <c r="B20" s="32" t="s">
        <v>25</v>
      </c>
      <c r="C20" s="33" t="s">
        <v>17</v>
      </c>
      <c r="D20" s="33" t="s">
        <v>1</v>
      </c>
      <c r="E20" s="33" t="s">
        <v>13</v>
      </c>
      <c r="F20" s="33" t="s">
        <v>4</v>
      </c>
      <c r="G20" s="34" t="s">
        <v>5</v>
      </c>
    </row>
    <row r="21" spans="1:7" ht="14.25" customHeight="1">
      <c r="A21" s="35"/>
      <c r="B21" s="39" t="s">
        <v>14</v>
      </c>
      <c r="C21" s="40" t="s">
        <v>18</v>
      </c>
      <c r="D21" s="40" t="s">
        <v>18</v>
      </c>
      <c r="E21" s="175" t="s">
        <v>75</v>
      </c>
      <c r="F21" s="175" t="s">
        <v>94</v>
      </c>
      <c r="G21" s="176" t="s">
        <v>95</v>
      </c>
    </row>
    <row r="22" spans="1:7" ht="14.25" customHeight="1">
      <c r="A22" s="41" t="s">
        <v>2</v>
      </c>
      <c r="B22" s="48" t="s">
        <v>20</v>
      </c>
      <c r="C22" s="7">
        <v>3625000</v>
      </c>
      <c r="D22" s="7">
        <v>54158</v>
      </c>
      <c r="E22" s="52">
        <v>65</v>
      </c>
      <c r="F22" s="7">
        <v>86135</v>
      </c>
      <c r="G22" s="13">
        <v>1588856</v>
      </c>
    </row>
    <row r="23" spans="1:7" ht="14.25" customHeight="1">
      <c r="A23" s="41"/>
      <c r="B23" s="49" t="s">
        <v>21</v>
      </c>
      <c r="C23" s="8">
        <v>3119000</v>
      </c>
      <c r="D23" s="8">
        <v>77682</v>
      </c>
      <c r="E23" s="53">
        <v>70</v>
      </c>
      <c r="F23" s="8">
        <v>79859</v>
      </c>
      <c r="G23" s="14">
        <v>1172889</v>
      </c>
    </row>
    <row r="24" spans="1:7" ht="14.25" customHeight="1">
      <c r="A24" s="41"/>
      <c r="B24" s="49" t="s">
        <v>22</v>
      </c>
      <c r="C24" s="8">
        <v>2324000</v>
      </c>
      <c r="D24" s="8">
        <v>99667</v>
      </c>
      <c r="E24" s="53">
        <v>75</v>
      </c>
      <c r="F24" s="8">
        <v>70335</v>
      </c>
      <c r="G24" s="14">
        <v>795681</v>
      </c>
    </row>
    <row r="25" spans="1:7" ht="14.25" customHeight="1">
      <c r="A25" s="41"/>
      <c r="B25" s="49" t="s">
        <v>23</v>
      </c>
      <c r="C25" s="8">
        <v>1343000</v>
      </c>
      <c r="D25" s="8">
        <v>93674</v>
      </c>
      <c r="E25" s="53">
        <v>80</v>
      </c>
      <c r="F25" s="8">
        <v>56460</v>
      </c>
      <c r="G25" s="14">
        <v>476912</v>
      </c>
    </row>
    <row r="26" spans="1:7" ht="14.25" customHeight="1">
      <c r="A26" s="39"/>
      <c r="B26" s="50" t="s">
        <v>24</v>
      </c>
      <c r="C26" s="9">
        <v>846000</v>
      </c>
      <c r="D26" s="9">
        <v>127670</v>
      </c>
      <c r="E26" s="54">
        <v>85</v>
      </c>
      <c r="F26" s="9">
        <v>38956</v>
      </c>
      <c r="G26" s="15">
        <v>237264</v>
      </c>
    </row>
    <row r="27" spans="1:7" ht="14.25" customHeight="1">
      <c r="A27" s="41" t="s">
        <v>11</v>
      </c>
      <c r="B27" s="48" t="s">
        <v>20</v>
      </c>
      <c r="C27" s="7">
        <v>3961000</v>
      </c>
      <c r="D27" s="7">
        <v>25121</v>
      </c>
      <c r="E27" s="52">
        <v>65</v>
      </c>
      <c r="F27" s="7">
        <v>93260</v>
      </c>
      <c r="G27" s="13">
        <v>2186233</v>
      </c>
    </row>
    <row r="28" spans="1:7" ht="14.25" customHeight="1">
      <c r="A28" s="45"/>
      <c r="B28" s="49" t="s">
        <v>21</v>
      </c>
      <c r="C28" s="8">
        <v>3667000</v>
      </c>
      <c r="D28" s="8">
        <v>39664</v>
      </c>
      <c r="E28" s="53">
        <v>70</v>
      </c>
      <c r="F28" s="8">
        <v>90329</v>
      </c>
      <c r="G28" s="14">
        <v>1726681</v>
      </c>
    </row>
    <row r="29" spans="1:7" ht="14.25" customHeight="1">
      <c r="A29" s="45"/>
      <c r="B29" s="49" t="s">
        <v>22</v>
      </c>
      <c r="C29" s="8">
        <v>3069000</v>
      </c>
      <c r="D29" s="8">
        <v>59584</v>
      </c>
      <c r="E29" s="53">
        <v>75</v>
      </c>
      <c r="F29" s="8">
        <v>85512</v>
      </c>
      <c r="G29" s="14">
        <v>1286026</v>
      </c>
    </row>
    <row r="30" spans="1:7" ht="14.25" customHeight="1">
      <c r="A30" s="45"/>
      <c r="B30" s="49" t="s">
        <v>23</v>
      </c>
      <c r="C30" s="8">
        <v>2300000</v>
      </c>
      <c r="D30" s="8">
        <v>84722</v>
      </c>
      <c r="E30" s="53">
        <v>80</v>
      </c>
      <c r="F30" s="8">
        <v>77486</v>
      </c>
      <c r="G30" s="14">
        <v>876834</v>
      </c>
    </row>
    <row r="31" spans="1:7" ht="14.25" customHeight="1" thickBot="1">
      <c r="A31" s="46"/>
      <c r="B31" s="51" t="s">
        <v>24</v>
      </c>
      <c r="C31" s="17">
        <v>2238000</v>
      </c>
      <c r="D31" s="17">
        <v>233887</v>
      </c>
      <c r="E31" s="55">
        <v>85</v>
      </c>
      <c r="F31" s="17">
        <v>63981</v>
      </c>
      <c r="G31" s="18">
        <v>520374</v>
      </c>
    </row>
    <row r="32" ht="9.75" customHeight="1" thickTop="1"/>
    <row r="33" ht="14.25" thickBot="1">
      <c r="A33" s="1" t="s">
        <v>99</v>
      </c>
    </row>
    <row r="34" spans="1:7" ht="14.25" thickTop="1">
      <c r="A34" s="28"/>
      <c r="B34" s="257" t="s">
        <v>62</v>
      </c>
      <c r="C34" s="258"/>
      <c r="D34" s="258"/>
      <c r="E34" s="258"/>
      <c r="F34" s="258"/>
      <c r="G34" s="277"/>
    </row>
    <row r="35" spans="1:7" ht="13.5">
      <c r="A35" s="29" t="s">
        <v>19</v>
      </c>
      <c r="B35" s="32" t="s">
        <v>25</v>
      </c>
      <c r="C35" s="33" t="s">
        <v>17</v>
      </c>
      <c r="D35" s="33" t="s">
        <v>1</v>
      </c>
      <c r="E35" s="33" t="s">
        <v>13</v>
      </c>
      <c r="F35" s="33" t="s">
        <v>4</v>
      </c>
      <c r="G35" s="34" t="s">
        <v>5</v>
      </c>
    </row>
    <row r="36" spans="1:7" ht="14.25">
      <c r="A36" s="35"/>
      <c r="B36" s="39" t="s">
        <v>14</v>
      </c>
      <c r="C36" s="40" t="s">
        <v>18</v>
      </c>
      <c r="D36" s="40" t="s">
        <v>18</v>
      </c>
      <c r="E36" s="175" t="s">
        <v>75</v>
      </c>
      <c r="F36" s="175" t="s">
        <v>94</v>
      </c>
      <c r="G36" s="176" t="s">
        <v>95</v>
      </c>
    </row>
    <row r="37" spans="1:7" ht="13.5">
      <c r="A37" s="41" t="s">
        <v>2</v>
      </c>
      <c r="B37" s="48" t="s">
        <v>20</v>
      </c>
      <c r="C37" s="7">
        <v>3727000</v>
      </c>
      <c r="D37" s="7">
        <v>55026</v>
      </c>
      <c r="E37" s="52">
        <v>65</v>
      </c>
      <c r="F37" s="7">
        <v>86371</v>
      </c>
      <c r="G37" s="13">
        <v>1603192</v>
      </c>
    </row>
    <row r="38" spans="1:7" ht="13.5">
      <c r="A38" s="41"/>
      <c r="B38" s="49" t="s">
        <v>21</v>
      </c>
      <c r="C38" s="8">
        <v>3177000</v>
      </c>
      <c r="D38" s="8">
        <v>77495</v>
      </c>
      <c r="E38" s="53">
        <v>70</v>
      </c>
      <c r="F38" s="8">
        <v>80114</v>
      </c>
      <c r="G38" s="14">
        <v>1186046</v>
      </c>
    </row>
    <row r="39" spans="1:7" ht="13.5">
      <c r="A39" s="41"/>
      <c r="B39" s="49" t="s">
        <v>22</v>
      </c>
      <c r="C39" s="8">
        <v>2398000</v>
      </c>
      <c r="D39" s="8">
        <v>100145</v>
      </c>
      <c r="E39" s="53">
        <v>75</v>
      </c>
      <c r="F39" s="8">
        <v>70776</v>
      </c>
      <c r="G39" s="14">
        <v>807204</v>
      </c>
    </row>
    <row r="40" spans="1:7" ht="13.5">
      <c r="A40" s="41"/>
      <c r="B40" s="49" t="s">
        <v>23</v>
      </c>
      <c r="C40" s="8">
        <v>1457000</v>
      </c>
      <c r="D40" s="8">
        <v>102136</v>
      </c>
      <c r="E40" s="53">
        <v>80</v>
      </c>
      <c r="F40" s="8">
        <v>57103</v>
      </c>
      <c r="G40" s="14">
        <v>485566</v>
      </c>
    </row>
    <row r="41" spans="1:7" ht="13.5">
      <c r="A41" s="39"/>
      <c r="B41" s="50" t="s">
        <v>24</v>
      </c>
      <c r="C41" s="9">
        <v>889000</v>
      </c>
      <c r="D41" s="9">
        <v>132353</v>
      </c>
      <c r="E41" s="54">
        <v>85</v>
      </c>
      <c r="F41" s="9">
        <v>39433</v>
      </c>
      <c r="G41" s="15">
        <v>243063</v>
      </c>
    </row>
    <row r="42" spans="1:7" ht="13.5">
      <c r="A42" s="41" t="s">
        <v>11</v>
      </c>
      <c r="B42" s="48" t="s">
        <v>20</v>
      </c>
      <c r="C42" s="7">
        <v>4070000</v>
      </c>
      <c r="D42" s="7">
        <v>25068</v>
      </c>
      <c r="E42" s="52">
        <v>65</v>
      </c>
      <c r="F42" s="7">
        <v>93335</v>
      </c>
      <c r="G42" s="13">
        <v>2201956</v>
      </c>
    </row>
    <row r="43" spans="1:7" ht="13.5">
      <c r="A43" s="45"/>
      <c r="B43" s="49" t="s">
        <v>21</v>
      </c>
      <c r="C43" s="8">
        <v>3716000</v>
      </c>
      <c r="D43" s="8">
        <v>39172</v>
      </c>
      <c r="E43" s="53">
        <v>70</v>
      </c>
      <c r="F43" s="8">
        <v>90476</v>
      </c>
      <c r="G43" s="14">
        <v>1741884</v>
      </c>
    </row>
    <row r="44" spans="1:7" ht="13.5">
      <c r="A44" s="45"/>
      <c r="B44" s="49" t="s">
        <v>22</v>
      </c>
      <c r="C44" s="8">
        <v>3147000</v>
      </c>
      <c r="D44" s="8">
        <v>59627</v>
      </c>
      <c r="E44" s="53">
        <v>75</v>
      </c>
      <c r="F44" s="8">
        <v>85780</v>
      </c>
      <c r="G44" s="14">
        <v>1300255</v>
      </c>
    </row>
    <row r="45" spans="1:7" ht="13.5">
      <c r="A45" s="45"/>
      <c r="B45" s="49" t="s">
        <v>23</v>
      </c>
      <c r="C45" s="8">
        <v>2394000</v>
      </c>
      <c r="D45" s="8">
        <v>86178</v>
      </c>
      <c r="E45" s="53">
        <v>80</v>
      </c>
      <c r="F45" s="8">
        <v>77888</v>
      </c>
      <c r="G45" s="14">
        <v>889393</v>
      </c>
    </row>
    <row r="46" spans="1:7" ht="14.25" thickBot="1">
      <c r="A46" s="46"/>
      <c r="B46" s="51" t="s">
        <v>24</v>
      </c>
      <c r="C46" s="17">
        <v>2372000</v>
      </c>
      <c r="D46" s="17">
        <v>246466</v>
      </c>
      <c r="E46" s="55">
        <v>85</v>
      </c>
      <c r="F46" s="17">
        <v>64638</v>
      </c>
      <c r="G46" s="18">
        <v>530197</v>
      </c>
    </row>
    <row r="47" ht="14.25" thickTop="1"/>
  </sheetData>
  <sheetProtection password="83CD" sheet="1" objects="1" scenarios="1"/>
  <mergeCells count="3">
    <mergeCell ref="B4:G4"/>
    <mergeCell ref="B19:G19"/>
    <mergeCell ref="B34:G34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D32" sqref="D32"/>
    </sheetView>
  </sheetViews>
  <sheetFormatPr defaultColWidth="8.796875" defaultRowHeight="15"/>
  <cols>
    <col min="1" max="1" width="4.59765625" style="0" customWidth="1"/>
    <col min="2" max="2" width="23.59765625" style="0" customWidth="1"/>
    <col min="3" max="3" width="53.19921875" style="0" customWidth="1"/>
  </cols>
  <sheetData>
    <row r="1" spans="1:3" ht="15.75" customHeight="1" thickBot="1">
      <c r="A1" s="1"/>
      <c r="B1" s="16"/>
      <c r="C1" s="1">
        <v>2009.3</v>
      </c>
    </row>
    <row r="2" spans="1:3" ht="15.75" customHeight="1" thickTop="1">
      <c r="A2" s="1"/>
      <c r="B2" s="284" t="s">
        <v>106</v>
      </c>
      <c r="C2" s="285"/>
    </row>
    <row r="3" spans="1:3" ht="15.75" customHeight="1">
      <c r="A3" s="1"/>
      <c r="B3" s="286" t="s">
        <v>108</v>
      </c>
      <c r="C3" s="287"/>
    </row>
    <row r="4" spans="1:3" ht="15.75" customHeight="1">
      <c r="A4" s="1"/>
      <c r="B4" s="288"/>
      <c r="C4" s="289"/>
    </row>
    <row r="5" spans="1:3" ht="15.75" customHeight="1">
      <c r="A5" s="1"/>
      <c r="B5" s="279" t="s">
        <v>107</v>
      </c>
      <c r="C5" s="280"/>
    </row>
    <row r="6" spans="1:3" ht="15.75" customHeight="1">
      <c r="A6" s="1"/>
      <c r="B6" s="279"/>
      <c r="C6" s="280"/>
    </row>
    <row r="7" spans="1:3" ht="15.75" customHeight="1">
      <c r="A7" s="1"/>
      <c r="B7" s="279" t="s">
        <v>130</v>
      </c>
      <c r="C7" s="280"/>
    </row>
    <row r="8" spans="1:3" ht="15.75" customHeight="1">
      <c r="A8" s="1"/>
      <c r="B8" s="283" t="s">
        <v>138</v>
      </c>
      <c r="C8" s="280"/>
    </row>
    <row r="9" spans="1:3" ht="15.75" customHeight="1">
      <c r="A9" s="1"/>
      <c r="B9" s="279" t="s">
        <v>139</v>
      </c>
      <c r="C9" s="280"/>
    </row>
    <row r="10" spans="1:3" ht="15.75" customHeight="1">
      <c r="A10" s="1"/>
      <c r="B10" s="224"/>
      <c r="C10" s="230"/>
    </row>
    <row r="11" spans="1:3" ht="15.75" customHeight="1">
      <c r="A11" s="1"/>
      <c r="B11" s="279" t="s">
        <v>131</v>
      </c>
      <c r="C11" s="280"/>
    </row>
    <row r="12" spans="1:3" ht="15.75" customHeight="1">
      <c r="A12" s="1"/>
      <c r="B12" s="279" t="s">
        <v>132</v>
      </c>
      <c r="C12" s="280"/>
    </row>
    <row r="13" spans="1:3" ht="15.75" customHeight="1">
      <c r="A13" s="1"/>
      <c r="B13" s="279"/>
      <c r="C13" s="280"/>
    </row>
    <row r="14" spans="1:3" ht="15.75" customHeight="1">
      <c r="A14" s="1"/>
      <c r="B14" s="279" t="s">
        <v>133</v>
      </c>
      <c r="C14" s="280"/>
    </row>
    <row r="15" spans="1:3" ht="15.75" customHeight="1">
      <c r="A15" s="1"/>
      <c r="B15" s="279" t="s">
        <v>134</v>
      </c>
      <c r="C15" s="280"/>
    </row>
    <row r="16" spans="1:3" ht="15.75" customHeight="1" thickBot="1">
      <c r="A16" s="1"/>
      <c r="B16" s="281"/>
      <c r="C16" s="282"/>
    </row>
    <row r="17" spans="1:3" ht="15.75" customHeight="1" thickTop="1">
      <c r="A17" s="1"/>
      <c r="B17" s="16"/>
      <c r="C17" s="16"/>
    </row>
    <row r="18" spans="1:3" ht="15.75" customHeight="1" thickBot="1">
      <c r="A18" s="1"/>
      <c r="B18" s="16"/>
      <c r="C18" s="16"/>
    </row>
    <row r="19" spans="1:3" ht="15.75" customHeight="1" thickTop="1">
      <c r="A19" s="1"/>
      <c r="B19" s="233" t="s">
        <v>144</v>
      </c>
      <c r="C19" s="231"/>
    </row>
    <row r="20" spans="1:3" ht="15.75" customHeight="1">
      <c r="A20" s="1"/>
      <c r="B20" s="237" t="s">
        <v>147</v>
      </c>
      <c r="C20" s="232"/>
    </row>
    <row r="21" spans="1:3" ht="15.75" customHeight="1">
      <c r="A21" s="1"/>
      <c r="B21" s="224"/>
      <c r="C21" s="230"/>
    </row>
    <row r="22" spans="1:3" ht="31.5" customHeight="1">
      <c r="A22" s="1"/>
      <c r="B22" s="283" t="s">
        <v>145</v>
      </c>
      <c r="C22" s="292"/>
    </row>
    <row r="23" spans="1:3" ht="15.75" customHeight="1">
      <c r="A23" s="1"/>
      <c r="B23" s="224" t="s">
        <v>146</v>
      </c>
      <c r="C23" s="230"/>
    </row>
    <row r="24" spans="2:3" ht="15.75" customHeight="1">
      <c r="B24" s="224"/>
      <c r="C24" s="230"/>
    </row>
    <row r="25" spans="2:3" ht="48" customHeight="1">
      <c r="B25" s="293" t="s">
        <v>149</v>
      </c>
      <c r="C25" s="294"/>
    </row>
    <row r="26" spans="2:3" ht="15.75" customHeight="1">
      <c r="B26" s="236"/>
      <c r="C26" s="230"/>
    </row>
    <row r="27" spans="2:3" ht="48" customHeight="1">
      <c r="B27" s="293" t="s">
        <v>150</v>
      </c>
      <c r="C27" s="294"/>
    </row>
    <row r="28" spans="2:3" ht="15.75" customHeight="1">
      <c r="B28" s="236"/>
      <c r="C28" s="230"/>
    </row>
    <row r="29" spans="2:3" ht="31.5" customHeight="1">
      <c r="B29" s="293" t="s">
        <v>151</v>
      </c>
      <c r="C29" s="294"/>
    </row>
    <row r="30" spans="2:3" ht="15.75" customHeight="1">
      <c r="B30" s="234"/>
      <c r="C30" s="235"/>
    </row>
    <row r="31" spans="2:3" ht="31.5" customHeight="1" thickBot="1">
      <c r="B31" s="290" t="s">
        <v>148</v>
      </c>
      <c r="C31" s="291"/>
    </row>
    <row r="32" spans="2:3" ht="31.5" customHeight="1" thickTop="1">
      <c r="B32" s="238"/>
      <c r="C32" s="239"/>
    </row>
  </sheetData>
  <sheetProtection password="83CD" sheet="1" objects="1" scenarios="1"/>
  <mergeCells count="19">
    <mergeCell ref="B31:C31"/>
    <mergeCell ref="B22:C22"/>
    <mergeCell ref="B25:C25"/>
    <mergeCell ref="B27:C27"/>
    <mergeCell ref="B29:C29"/>
    <mergeCell ref="B2:C2"/>
    <mergeCell ref="B3:C3"/>
    <mergeCell ref="B4:C4"/>
    <mergeCell ref="B5:C5"/>
    <mergeCell ref="B6:C6"/>
    <mergeCell ref="B7:C7"/>
    <mergeCell ref="B8:C8"/>
    <mergeCell ref="B9:C9"/>
    <mergeCell ref="B15:C15"/>
    <mergeCell ref="B16:C16"/>
    <mergeCell ref="B11:C11"/>
    <mergeCell ref="B12:C12"/>
    <mergeCell ref="B13:C13"/>
    <mergeCell ref="B14:C14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D20" sqref="D20"/>
    </sheetView>
  </sheetViews>
  <sheetFormatPr defaultColWidth="8.796875" defaultRowHeight="15"/>
  <cols>
    <col min="1" max="1" width="4.59765625" style="0" customWidth="1"/>
    <col min="2" max="2" width="23.59765625" style="0" customWidth="1"/>
    <col min="3" max="3" width="53.19921875" style="0" customWidth="1"/>
  </cols>
  <sheetData>
    <row r="1" spans="1:3" ht="15.75" customHeight="1" thickBot="1">
      <c r="A1" s="1"/>
      <c r="B1" s="16"/>
      <c r="C1" s="1">
        <v>2009.3</v>
      </c>
    </row>
    <row r="2" spans="1:4" ht="15.75" customHeight="1" thickTop="1">
      <c r="A2" s="1"/>
      <c r="B2" s="226" t="s">
        <v>109</v>
      </c>
      <c r="C2" s="227"/>
      <c r="D2" s="225"/>
    </row>
    <row r="3" spans="1:4" ht="15.75" customHeight="1">
      <c r="A3" s="1"/>
      <c r="B3" s="228" t="s">
        <v>120</v>
      </c>
      <c r="C3" s="229"/>
      <c r="D3" s="225"/>
    </row>
    <row r="4" spans="1:4" ht="15.75" customHeight="1">
      <c r="A4" s="1"/>
      <c r="B4" s="224"/>
      <c r="C4" s="230"/>
      <c r="D4" s="225"/>
    </row>
    <row r="5" spans="1:4" ht="15.75" customHeight="1">
      <c r="A5" s="1"/>
      <c r="B5" s="224" t="s">
        <v>112</v>
      </c>
      <c r="C5" s="230"/>
      <c r="D5" s="225"/>
    </row>
    <row r="6" spans="1:4" ht="15.75" customHeight="1">
      <c r="A6" s="1"/>
      <c r="B6" s="224" t="s">
        <v>129</v>
      </c>
      <c r="C6" s="230"/>
      <c r="D6" s="225"/>
    </row>
    <row r="7" spans="1:4" ht="15.75" customHeight="1">
      <c r="A7" s="1"/>
      <c r="B7" s="224" t="s">
        <v>111</v>
      </c>
      <c r="C7" s="230"/>
      <c r="D7" s="225"/>
    </row>
    <row r="8" spans="1:4" ht="15.75" customHeight="1">
      <c r="A8" s="1"/>
      <c r="B8" s="224"/>
      <c r="C8" s="230"/>
      <c r="D8" s="225"/>
    </row>
    <row r="9" spans="1:4" ht="15.75" customHeight="1">
      <c r="A9" s="1"/>
      <c r="B9" s="224" t="s">
        <v>113</v>
      </c>
      <c r="C9" s="230"/>
      <c r="D9" s="225"/>
    </row>
    <row r="10" spans="1:4" ht="15.75" customHeight="1">
      <c r="A10" s="1"/>
      <c r="B10" s="224"/>
      <c r="C10" s="230"/>
      <c r="D10" s="225"/>
    </row>
    <row r="11" spans="1:4" ht="15.75" customHeight="1">
      <c r="A11" s="1"/>
      <c r="B11" s="224" t="s">
        <v>123</v>
      </c>
      <c r="C11" s="230"/>
      <c r="D11" s="225"/>
    </row>
    <row r="12" spans="1:4" ht="15.75" customHeight="1">
      <c r="A12" s="1"/>
      <c r="B12" s="224" t="s">
        <v>110</v>
      </c>
      <c r="C12" s="230"/>
      <c r="D12" s="225"/>
    </row>
    <row r="13" spans="1:4" ht="15.75" customHeight="1">
      <c r="A13" s="1"/>
      <c r="B13" s="224" t="s">
        <v>114</v>
      </c>
      <c r="C13" s="230"/>
      <c r="D13" s="225"/>
    </row>
    <row r="14" spans="1:4" ht="15.75" customHeight="1">
      <c r="A14" s="1"/>
      <c r="B14" s="224" t="s">
        <v>115</v>
      </c>
      <c r="C14" s="230"/>
      <c r="D14" s="225"/>
    </row>
    <row r="15" spans="1:4" ht="15.75" customHeight="1">
      <c r="A15" s="1"/>
      <c r="B15" s="224" t="s">
        <v>118</v>
      </c>
      <c r="C15" s="230"/>
      <c r="D15" s="225"/>
    </row>
    <row r="16" spans="1:4" ht="15.75" customHeight="1">
      <c r="A16" s="1"/>
      <c r="B16" s="224" t="s">
        <v>116</v>
      </c>
      <c r="C16" s="230"/>
      <c r="D16" s="225"/>
    </row>
    <row r="17" spans="1:4" ht="15.75" customHeight="1">
      <c r="A17" s="1"/>
      <c r="B17" s="224" t="s">
        <v>117</v>
      </c>
      <c r="C17" s="230"/>
      <c r="D17" s="225"/>
    </row>
    <row r="18" spans="1:4" ht="15.75" customHeight="1">
      <c r="A18" s="1"/>
      <c r="B18" s="224" t="s">
        <v>119</v>
      </c>
      <c r="C18" s="230"/>
      <c r="D18" s="225"/>
    </row>
    <row r="19" spans="1:4" ht="15.75" customHeight="1" thickBot="1">
      <c r="A19" s="1"/>
      <c r="B19" s="281"/>
      <c r="C19" s="282"/>
      <c r="D19" s="225"/>
    </row>
    <row r="20" spans="1:3" ht="15.75" customHeight="1" thickTop="1">
      <c r="A20" s="1"/>
      <c r="B20" s="1"/>
      <c r="C20" s="16"/>
    </row>
    <row r="21" spans="1:3" ht="15.75" customHeight="1">
      <c r="A21" s="1"/>
      <c r="B21" s="1"/>
      <c r="C21" s="16"/>
    </row>
    <row r="22" spans="1:3" ht="15.75" customHeight="1">
      <c r="A22" s="1"/>
      <c r="B22" s="1"/>
      <c r="C22" s="16"/>
    </row>
  </sheetData>
  <sheetProtection password="83CD" sheet="1" objects="1" scenarios="1"/>
  <mergeCells count="1">
    <mergeCell ref="B19:C19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D13" sqref="D13"/>
    </sheetView>
  </sheetViews>
  <sheetFormatPr defaultColWidth="8.796875" defaultRowHeight="15"/>
  <cols>
    <col min="1" max="1" width="4.59765625" style="0" customWidth="1"/>
    <col min="2" max="2" width="23.59765625" style="0" customWidth="1"/>
    <col min="3" max="3" width="53.19921875" style="0" customWidth="1"/>
  </cols>
  <sheetData>
    <row r="1" spans="1:3" ht="15.75" customHeight="1" thickBot="1">
      <c r="A1" s="1"/>
      <c r="B1" s="16"/>
      <c r="C1" s="1">
        <v>2009.3</v>
      </c>
    </row>
    <row r="2" spans="1:3" ht="15.75" customHeight="1" thickTop="1">
      <c r="A2" s="1"/>
      <c r="B2" s="284" t="s">
        <v>124</v>
      </c>
      <c r="C2" s="285"/>
    </row>
    <row r="3" spans="1:3" ht="15.75" customHeight="1">
      <c r="A3" s="1"/>
      <c r="B3" s="288"/>
      <c r="C3" s="289"/>
    </row>
    <row r="4" spans="1:3" ht="15.75" customHeight="1">
      <c r="A4" s="1"/>
      <c r="B4" s="279" t="s">
        <v>140</v>
      </c>
      <c r="C4" s="280"/>
    </row>
    <row r="5" spans="1:3" ht="15.75" customHeight="1">
      <c r="A5" s="1"/>
      <c r="B5" s="279" t="s">
        <v>125</v>
      </c>
      <c r="C5" s="280"/>
    </row>
    <row r="6" spans="1:3" ht="15.75" customHeight="1">
      <c r="A6" s="1"/>
      <c r="B6" s="279"/>
      <c r="C6" s="280"/>
    </row>
    <row r="7" spans="1:3" ht="15.75" customHeight="1">
      <c r="A7" s="1"/>
      <c r="B7" s="279" t="s">
        <v>141</v>
      </c>
      <c r="C7" s="280"/>
    </row>
    <row r="8" spans="1:3" ht="15.75" customHeight="1">
      <c r="A8" s="1"/>
      <c r="B8" s="279"/>
      <c r="C8" s="280"/>
    </row>
    <row r="9" spans="1:3" ht="15.75" customHeight="1">
      <c r="A9" s="1"/>
      <c r="B9" s="279" t="s">
        <v>142</v>
      </c>
      <c r="C9" s="280"/>
    </row>
    <row r="10" spans="1:3" ht="15.75" customHeight="1">
      <c r="A10" s="1"/>
      <c r="B10" s="279"/>
      <c r="C10" s="280"/>
    </row>
    <row r="11" spans="1:3" ht="15.75" customHeight="1">
      <c r="A11" s="1"/>
      <c r="B11" s="279" t="s">
        <v>143</v>
      </c>
      <c r="C11" s="280"/>
    </row>
    <row r="12" spans="1:3" ht="15.75" customHeight="1" thickBot="1">
      <c r="A12" s="1"/>
      <c r="B12" s="281"/>
      <c r="C12" s="282"/>
    </row>
    <row r="13" spans="1:3" ht="15.75" customHeight="1" thickTop="1">
      <c r="A13" s="1"/>
      <c r="B13" s="16"/>
      <c r="C13" s="16"/>
    </row>
    <row r="14" spans="1:3" ht="15.75" customHeight="1">
      <c r="A14" s="1"/>
      <c r="B14" s="16"/>
      <c r="C14" s="16"/>
    </row>
    <row r="15" spans="1:3" ht="15.75" customHeight="1">
      <c r="A15" s="1"/>
      <c r="B15" s="16"/>
      <c r="C15" s="16"/>
    </row>
    <row r="16" spans="2:3" ht="15.75" customHeight="1">
      <c r="B16" s="223"/>
      <c r="C16" s="223"/>
    </row>
  </sheetData>
  <sheetProtection password="83CD" sheet="1" objects="1" scenarios="1"/>
  <mergeCells count="11">
    <mergeCell ref="B6:C6"/>
    <mergeCell ref="B7:C7"/>
    <mergeCell ref="B8:C8"/>
    <mergeCell ref="B12:C12"/>
    <mergeCell ref="B9:C9"/>
    <mergeCell ref="B10:C10"/>
    <mergeCell ref="B11:C11"/>
    <mergeCell ref="B2:C2"/>
    <mergeCell ref="B3:C3"/>
    <mergeCell ref="B4:C4"/>
    <mergeCell ref="B5:C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平均自立期間の算定プログラム</dc:title>
  <dc:subject/>
  <dc:creator/>
  <cp:keywords/>
  <dc:description/>
  <cp:lastModifiedBy>hashimoto</cp:lastModifiedBy>
  <cp:lastPrinted>2008-02-18T08:29:11Z</cp:lastPrinted>
  <dcterms:created xsi:type="dcterms:W3CDTF">2004-08-04T23:23:40Z</dcterms:created>
  <dcterms:modified xsi:type="dcterms:W3CDTF">2009-02-24T01:33:35Z</dcterms:modified>
  <cp:category/>
  <cp:version/>
  <cp:contentType/>
  <cp:contentStatus/>
</cp:coreProperties>
</file>